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Capa" sheetId="1" state="visible" r:id="rId3"/>
    <sheet name="01_Instrucoes" sheetId="2" state="visible" r:id="rId4"/>
    <sheet name="02_Premissas" sheetId="3" state="visible" r:id="rId5"/>
    <sheet name="03_Baseline_Rotas" sheetId="4" state="visible" r:id="rId6"/>
    <sheet name="04_Cadastro_Carriers" sheetId="5" state="visible" r:id="rId7"/>
    <sheet name="05_Propostas" sheetId="6" state="visible" r:id="rId8"/>
    <sheet name="07_Comparativo" sheetId="7" state="visible" r:id="rId9"/>
    <sheet name="08_Saving" sheetId="8" state="visible" r:id="rId10"/>
    <sheet name="09_Ranking" sheetId="9" state="visible" r:id="rId11"/>
    <sheet name="10_Cenarios" sheetId="10" state="visible" r:id="rId12"/>
    <sheet name="11_Recomendacao" sheetId="11" state="visible" r:id="rId13"/>
  </sheets>
  <definedNames>
    <definedName function="false" hidden="true" localSheetId="5" name="_xlnm._FilterDatabase" vbProcedure="false">05_Propostas!$A$5:$N$53</definedName>
    <definedName function="false" hidden="true" localSheetId="6" name="_xlnm._FilterDatabase" vbProcedure="false">07_Comparativo!$A$5:$N$53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<sst xmlns="http://schemas.openxmlformats.org/spreadsheetml/2006/main" count="646" uniqueCount="334">
  <si>
    <t xml:space="preserve">RFQ LOGÍSTICO INTELIGENTE</t>
  </si>
  <si>
    <t xml:space="preserve">Pacote de cotação, consolidação, saving e recomendação de contratação</t>
  </si>
  <si>
    <t xml:space="preserve">Como usar este pacote</t>
  </si>
  <si>
    <t xml:space="preserve">1. Premissas</t>
  </si>
  <si>
    <t xml:space="preserve">Ajuste pesos do score, GRIS, prazo do contrato e critério de empate na aba 02_Premissas (células azuis).</t>
  </si>
  <si>
    <t xml:space="preserve">2. Baseline</t>
  </si>
  <si>
    <t xml:space="preserve">Confirme rotas, volume mensal, preço atual e SLA na aba 03_Baseline_Rotas.</t>
  </si>
  <si>
    <t xml:space="preserve">3. Enviar</t>
  </si>
  <si>
    <t xml:space="preserve">Envie o arquivo RFQ_Template_Fornecedor.xlsx. Cada transportadora preenche só a aba de proposta.</t>
  </si>
  <si>
    <t xml:space="preserve">4. Receber</t>
  </si>
  <si>
    <t xml:space="preserve">Cole as respostas na aba 05_Propostas (uma linha por rota × fornecedor). Status de validação é automático.</t>
  </si>
  <si>
    <t xml:space="preserve">5. Comparar</t>
  </si>
  <si>
    <t xml:space="preserve">Abas 07 a 11 recalculam menor preço, saving, ranking ponderado e cenário de mix.</t>
  </si>
  <si>
    <t xml:space="preserve">6. Decidir</t>
  </si>
  <si>
    <t xml:space="preserve">Use 11_Recomendacao + ranking. Não contrate só pelo R$/kg — veja score, cobertura e risco.</t>
  </si>
  <si>
    <t xml:space="preserve">Arquivos do pacote</t>
  </si>
  <si>
    <t xml:space="preserve">RFQ_Logistico_Inteligente.xlsx</t>
  </si>
  <si>
    <t xml:space="preserve">Motor: baseline, propostas, validação, comparativo, saving, ranking, cenários, recomendação.</t>
  </si>
  <si>
    <t xml:space="preserve">RFQ_Template_Fornecedor.xlsx</t>
  </si>
  <si>
    <t xml:space="preserve">Arquivo único enviado ao carrier. Protegido nas colunas da lane; preenche só preço e SLA.</t>
  </si>
  <si>
    <t xml:space="preserve">LEIA-ME_RFQ.txt</t>
  </si>
  <si>
    <t xml:space="preserve">Roteiro de 15 minutos para o analista de frete.</t>
  </si>
  <si>
    <t xml:space="preserve">Premissas explícitas deste modelo de demonstração</t>
  </si>
  <si>
    <t xml:space="preserve">• Volumes e preços atuais são ilustrativos (embarque rodoviário BR, mix FTL/LTL/last mile). Substitua pelos 12 meses reais antes de enviar.</t>
  </si>
  <si>
    <t xml:space="preserve">• Peso taxado = MÁX(peso real; m³ × fator cubagem). Fator padrão 300 kg/m³ (ajuste em Premissas).</t>
  </si>
  <si>
    <t xml:space="preserve">• Custo mensal da lane = viagens × (frete base + pedágio estimado) + kg × GRIS%, com mínimo por embarque quando aplicável.</t>
  </si>
  <si>
    <t xml:space="preserve">• Saving = baseline − melhor oferta válida. Saving potencial assume 100% de migração na lane; o cenário 10 aplica share of wallet.</t>
  </si>
  <si>
    <t xml:space="preserve">• Score = 45% preço + 25% prazo + 15% OTIF prometido + 10% cobertura de malha + 5% compliance. Pesos editáveis.</t>
  </si>
  <si>
    <t xml:space="preserve">• IA neste pacote = regras + ranking ponderado + flags de outlier (preço &lt;70% da mediana da lane = risco de dump). Não substitui due diligence.</t>
  </si>
  <si>
    <t xml:space="preserve">O que invalida a recomendação</t>
  </si>
  <si>
    <t xml:space="preserve">Volume real muito diferente do anexo; cubagem omitida; carrier sem RNTRC/seguro na lane; OTIF prometido sem evidência dos últimos 6 meses; preço spot misturado com tabela; reajuste IGPM/IPCA sem teto; overflow sem regra. Corrija o input e o ranking muda.</t>
  </si>
  <si>
    <t xml:space="preserve">01 — Instruções operacionais</t>
  </si>
  <si>
    <t xml:space="preserve">Fluxo do analista. Tempo alvo: 15 minutos para atualizar baseline + 1 hora para colar propostas.</t>
  </si>
  <si>
    <t xml:space="preserve">Tema</t>
  </si>
  <si>
    <t xml:space="preserve">Regra</t>
  </si>
  <si>
    <t xml:space="preserve">Não faça</t>
  </si>
  <si>
    <t xml:space="preserve">Não envie o workbook motor ao carrier. Envie só RFQ_Template_Fornecedor.xlsx.</t>
  </si>
  <si>
    <t xml:space="preserve">Baseline</t>
  </si>
  <si>
    <t xml:space="preserve">Edite só células amarelas/azuis na 03. Mantenha Lane_ID estável (L01…). Volume = média 12 meses, não pico.</t>
  </si>
  <si>
    <t xml:space="preserve">Template</t>
  </si>
  <si>
    <t xml:space="preserve">Cada fornecedor preenche Cobre_lane, preços, prazo, OTIF, GRIS e validade. Não altera Lane_ID.</t>
  </si>
  <si>
    <t xml:space="preserve">Coleta</t>
  </si>
  <si>
    <t xml:space="preserve">Ao receber, copie o bloco de linhas da aba Proposta do template para 05_Propostas, abaixo do último ID.</t>
  </si>
  <si>
    <t xml:space="preserve">Validação</t>
  </si>
  <si>
    <t xml:space="preserve">Coluna Status fecha sozinha. ERRO não entra em MINIFS. Corrija origem, não a fórmula.</t>
  </si>
  <si>
    <t xml:space="preserve">Comparativo</t>
  </si>
  <si>
    <t xml:space="preserve">MELHOR marca o menor custo mensal OK da lane. DUMP marca preço/kg &lt; 70% do atual.</t>
  </si>
  <si>
    <t xml:space="preserve">Saving</t>
  </si>
  <si>
    <t xml:space="preserve">Teto teórico de economia se cada lane for 100% ao vencedor de custo. Isso raramente é o plano.</t>
  </si>
  <si>
    <t xml:space="preserve">Ranking</t>
  </si>
  <si>
    <t xml:space="preserve">Mude pesos em Premissas se a diretoria valoriza serviço mais que tarifa.</t>
  </si>
  <si>
    <t xml:space="preserve">Cenários</t>
  </si>
  <si>
    <t xml:space="preserve">C usa share da aba Premissas. Simulador manual não é P&amp;L (lanes sobrepostas).</t>
  </si>
  <si>
    <t xml:space="preserve">Contrato</t>
  </si>
  <si>
    <t xml:space="preserve">Leve 11_Recomendacao + scorecard mensal (OTIF, invoice accuracy, claim, dwell). Multa simétrica.</t>
  </si>
  <si>
    <t xml:space="preserve">Power Query</t>
  </si>
  <si>
    <t xml:space="preserve">Opcional: pasta /propostas/*.xlsx → append na 05. Mantenha os mesmos cabeçalhos.</t>
  </si>
  <si>
    <t xml:space="preserve">Python / IA</t>
  </si>
  <si>
    <t xml:space="preserve">Use um script só para outlier e leitura de PDF de tabela. A decisão continua nesta planilha.</t>
  </si>
  <si>
    <t xml:space="preserve">02 — Premissas e parâmetros do RFQ</t>
  </si>
  <si>
    <t xml:space="preserve">Células azuis = input. Tudo que calcula nas outras abas aponta para cá.</t>
  </si>
  <si>
    <t xml:space="preserve">Parâmetro</t>
  </si>
  <si>
    <t xml:space="preserve">Valor</t>
  </si>
  <si>
    <t xml:space="preserve">Unidade</t>
  </si>
  <si>
    <t xml:space="preserve">Como entra na decisão</t>
  </si>
  <si>
    <t xml:space="preserve">RFQ_ID</t>
  </si>
  <si>
    <t xml:space="preserve">RFQ-FRETE-2026-09</t>
  </si>
  <si>
    <t xml:space="preserve">texto</t>
  </si>
  <si>
    <t xml:space="preserve">Identificador enviado ao mercado</t>
  </si>
  <si>
    <t xml:space="preserve">Data_abertura</t>
  </si>
  <si>
    <t xml:space="preserve">2026-09-21</t>
  </si>
  <si>
    <t xml:space="preserve">data</t>
  </si>
  <si>
    <t xml:space="preserve">Calendário do processo</t>
  </si>
  <si>
    <t xml:space="preserve">Data_limite_proposta</t>
  </si>
  <si>
    <t xml:space="preserve">2026-10-10</t>
  </si>
  <si>
    <t xml:space="preserve">Após esta data a linha entra como atrasada</t>
  </si>
  <si>
    <t xml:space="preserve">Vigencia_meses</t>
  </si>
  <si>
    <t xml:space="preserve">meses</t>
  </si>
  <si>
    <t xml:space="preserve">Multiplica custo mensal → anual</t>
  </si>
  <si>
    <t xml:space="preserve">Fator_cubagem_kg_m3</t>
  </si>
  <si>
    <t xml:space="preserve">kg/m³</t>
  </si>
  <si>
    <t xml:space="preserve">Peso taxado = MÁX(kg; m³×fator)</t>
  </si>
  <si>
    <t xml:space="preserve">GRIS_padrao</t>
  </si>
  <si>
    <t xml:space="preserve">%</t>
  </si>
  <si>
    <t xml:space="preserve">Aplicado sobre valor da carga se o carrier não informar</t>
  </si>
  <si>
    <t xml:space="preserve">Peso_score_preco</t>
  </si>
  <si>
    <t xml:space="preserve">Peso no ranking</t>
  </si>
  <si>
    <t xml:space="preserve">Peso_score_prazo</t>
  </si>
  <si>
    <t xml:space="preserve">Peso_score_otif</t>
  </si>
  <si>
    <t xml:space="preserve">Peso_score_cobertura</t>
  </si>
  <si>
    <t xml:space="preserve">Peso_score_compliance</t>
  </si>
  <si>
    <t xml:space="preserve">Flag_dump_vs_mediana</t>
  </si>
  <si>
    <t xml:space="preserve">Oferta &lt;70% da mediana da lane = risco</t>
  </si>
  <si>
    <t xml:space="preserve">Flag_caro_vs_mediana</t>
  </si>
  <si>
    <t xml:space="preserve">Oferta &gt;125% da mediana = fora</t>
  </si>
  <si>
    <t xml:space="preserve">Share_incumbente_cenario</t>
  </si>
  <si>
    <t xml:space="preserve">fração</t>
  </si>
  <si>
    <t xml:space="preserve">Cenário híbrido: quanto fica com atual</t>
  </si>
  <si>
    <t xml:space="preserve">Share_vencedor_cenario</t>
  </si>
  <si>
    <t xml:space="preserve">Cenário híbrido: quanto vai ao melhor score</t>
  </si>
  <si>
    <t xml:space="preserve">Meta_saving</t>
  </si>
  <si>
    <t xml:space="preserve">Meta de redução vs baseline</t>
  </si>
  <si>
    <t xml:space="preserve">Moeda</t>
  </si>
  <si>
    <t xml:space="preserve">BRL</t>
  </si>
  <si>
    <t xml:space="preserve">Todas as tabelas</t>
  </si>
  <si>
    <t xml:space="preserve">Analista_owner</t>
  </si>
  <si>
    <t xml:space="preserve">Frete / Procurement</t>
  </si>
  <si>
    <t xml:space="preserve">Dono do processo</t>
  </si>
  <si>
    <t xml:space="preserve">Check dos pesos do score (deve somar 100%)</t>
  </si>
  <si>
    <t xml:space="preserve">Critério de desempate</t>
  </si>
  <si>
    <t xml:space="preserve">Menor custo total anual com score ≥ 70 e dump = Não</t>
  </si>
  <si>
    <t xml:space="preserve">03 — Baseline de rotas (anexo de volume honesto)</t>
  </si>
  <si>
    <t xml:space="preserve">Substitua os números azuis pelos 12 meses reais + sazonalidade. Não use o mês recorde.</t>
  </si>
  <si>
    <t xml:space="preserve">Lane_ID</t>
  </si>
  <si>
    <t xml:space="preserve">Origem</t>
  </si>
  <si>
    <t xml:space="preserve">Destino</t>
  </si>
  <si>
    <t xml:space="preserve">UF_dest</t>
  </si>
  <si>
    <t xml:space="preserve">Tipo</t>
  </si>
  <si>
    <t xml:space="preserve">Veiculo</t>
  </si>
  <si>
    <t xml:space="preserve">Kg_mes</t>
  </si>
  <si>
    <t xml:space="preserve">M3_mes</t>
  </si>
  <si>
    <t xml:space="preserve">Viagens_mes</t>
  </si>
  <si>
    <t xml:space="preserve">Valor_carga_mes</t>
  </si>
  <si>
    <t xml:space="preserve">Preco_atual_R$_kg</t>
  </si>
  <si>
    <t xml:space="preserve">Pedagio_R$_viagem</t>
  </si>
  <si>
    <t xml:space="preserve">Minimo_R$_embarque</t>
  </si>
  <si>
    <t xml:space="preserve">Lead_time_atual_h</t>
  </si>
  <si>
    <t xml:space="preserve">OTIF_atual</t>
  </si>
  <si>
    <t xml:space="preserve">Obs</t>
  </si>
  <si>
    <t xml:space="preserve">L01</t>
  </si>
  <si>
    <t xml:space="preserve">CD Cajamar/SP</t>
  </si>
  <si>
    <t xml:space="preserve">Rio de Janeiro/RJ</t>
  </si>
  <si>
    <t xml:space="preserve">RJ</t>
  </si>
  <si>
    <t xml:space="preserve">FTL</t>
  </si>
  <si>
    <t xml:space="preserve">Carreta 28 t</t>
  </si>
  <si>
    <t xml:space="preserve">Lane âncora</t>
  </si>
  <si>
    <t xml:space="preserve">L02</t>
  </si>
  <si>
    <t xml:space="preserve">Belo Horizonte/MG</t>
  </si>
  <si>
    <t xml:space="preserve">MG</t>
  </si>
  <si>
    <t xml:space="preserve">L03</t>
  </si>
  <si>
    <t xml:space="preserve">Curitiba/PR</t>
  </si>
  <si>
    <t xml:space="preserve">PR</t>
  </si>
  <si>
    <t xml:space="preserve">L04</t>
  </si>
  <si>
    <t xml:space="preserve">Porto Alegre/RS</t>
  </si>
  <si>
    <t xml:space="preserve">RS</t>
  </si>
  <si>
    <t xml:space="preserve">Risco serra</t>
  </si>
  <si>
    <t xml:space="preserve">L05</t>
  </si>
  <si>
    <t xml:space="preserve">Salvador/BA</t>
  </si>
  <si>
    <t xml:space="preserve">BA</t>
  </si>
  <si>
    <t xml:space="preserve">Longa</t>
  </si>
  <si>
    <t xml:space="preserve">L06</t>
  </si>
  <si>
    <t xml:space="preserve">Fortaleza/CE</t>
  </si>
  <si>
    <t xml:space="preserve">CE</t>
  </si>
  <si>
    <t xml:space="preserve">Longa + risco</t>
  </si>
  <si>
    <t xml:space="preserve">L07</t>
  </si>
  <si>
    <t xml:space="preserve">Campinas/SP</t>
  </si>
  <si>
    <t xml:space="preserve">SP</t>
  </si>
  <si>
    <t xml:space="preserve">LTL</t>
  </si>
  <si>
    <t xml:space="preserve">3/4 / Toco</t>
  </si>
  <si>
    <t xml:space="preserve">Milk-run</t>
  </si>
  <si>
    <t xml:space="preserve">L08</t>
  </si>
  <si>
    <t xml:space="preserve">Interior SP (cluster)</t>
  </si>
  <si>
    <t xml:space="preserve">Toco</t>
  </si>
  <si>
    <t xml:space="preserve">Fracionado</t>
  </si>
  <si>
    <t xml:space="preserve">L09</t>
  </si>
  <si>
    <t xml:space="preserve">Last mile Capital SP</t>
  </si>
  <si>
    <t xml:space="preserve">Last mile</t>
  </si>
  <si>
    <t xml:space="preserve">VUC / van</t>
  </si>
  <si>
    <t xml:space="preserve">B2C denso</t>
  </si>
  <si>
    <t xml:space="preserve">L10</t>
  </si>
  <si>
    <t xml:space="preserve">Last mile ABC/SP</t>
  </si>
  <si>
    <t xml:space="preserve">VUC</t>
  </si>
  <si>
    <t xml:space="preserve">B2C</t>
  </si>
  <si>
    <t xml:space="preserve">L11</t>
  </si>
  <si>
    <t xml:space="preserve">Brasília/DF</t>
  </si>
  <si>
    <t xml:space="preserve">DF</t>
  </si>
  <si>
    <t xml:space="preserve">L12</t>
  </si>
  <si>
    <t xml:space="preserve">Goiânia/GO</t>
  </si>
  <si>
    <t xml:space="preserve">GO</t>
  </si>
  <si>
    <t xml:space="preserve">TOTAL / MÉDIA</t>
  </si>
  <si>
    <t xml:space="preserve">Custo mensal baseline por lane (fórmula padrão do RFQ)</t>
  </si>
  <si>
    <t xml:space="preserve">Peso_taxado_mes</t>
  </si>
  <si>
    <t xml:space="preserve">Frete_kg_mes</t>
  </si>
  <si>
    <t xml:space="preserve">Pedagio_mes</t>
  </si>
  <si>
    <t xml:space="preserve">GRIS_mes</t>
  </si>
  <si>
    <t xml:space="preserve">Minimos_mes</t>
  </si>
  <si>
    <t xml:space="preserve">Custo_mensal</t>
  </si>
  <si>
    <t xml:space="preserve">Custo_anual</t>
  </si>
  <si>
    <t xml:space="preserve">R$_por_kg_taxado</t>
  </si>
  <si>
    <t xml:space="preserve">TOTAL</t>
  </si>
  <si>
    <t xml:space="preserve">04 — Cadastro de transportadoras convidadas</t>
  </si>
  <si>
    <t xml:space="preserve">Inclua RNTRC, seguro e recorte de malha antes de abrir o envelope de preço.</t>
  </si>
  <si>
    <t xml:space="preserve">Carrier_ID</t>
  </si>
  <si>
    <t xml:space="preserve">Nome</t>
  </si>
  <si>
    <t xml:space="preserve">CNPJ</t>
  </si>
  <si>
    <t xml:space="preserve">Malha</t>
  </si>
  <si>
    <t xml:space="preserve">OTIF_historico</t>
  </si>
  <si>
    <t xml:space="preserve">RNTRC_seguro_ok</t>
  </si>
  <si>
    <t xml:space="preserve">Contato</t>
  </si>
  <si>
    <t xml:space="preserve">Status_RFQ</t>
  </si>
  <si>
    <t xml:space="preserve">TR01</t>
  </si>
  <si>
    <t xml:space="preserve">TransLeste</t>
  </si>
  <si>
    <t xml:space="preserve">CNPJ 12.345.678/0001-90</t>
  </si>
  <si>
    <t xml:space="preserve">Nacional</t>
  </si>
  <si>
    <t xml:space="preserve">Sim</t>
  </si>
  <si>
    <t xml:space="preserve">compras@transleste.com.br</t>
  </si>
  <si>
    <t xml:space="preserve">Proposta recebida</t>
  </si>
  <si>
    <t xml:space="preserve">TR02</t>
  </si>
  <si>
    <t xml:space="preserve">RodoSul Log</t>
  </si>
  <si>
    <t xml:space="preserve">CNPJ 23.456.789/0001-01</t>
  </si>
  <si>
    <t xml:space="preserve">Sul / Sudeste</t>
  </si>
  <si>
    <t xml:space="preserve">rfq@rodosul.com.br</t>
  </si>
  <si>
    <t xml:space="preserve">TR03</t>
  </si>
  <si>
    <t xml:space="preserve">Nordeste Express</t>
  </si>
  <si>
    <t xml:space="preserve">CNPJ 34.567.890/0001-12</t>
  </si>
  <si>
    <t xml:space="preserve">NE + long haul</t>
  </si>
  <si>
    <t xml:space="preserve">comercial@neexpress.com.br</t>
  </si>
  <si>
    <t xml:space="preserve">TR04</t>
  </si>
  <si>
    <t xml:space="preserve">Prime Mile SP</t>
  </si>
  <si>
    <t xml:space="preserve">CNPJ 45.678.901/0001-23</t>
  </si>
  <si>
    <t xml:space="preserve">Last mile SP</t>
  </si>
  <si>
    <t xml:space="preserve">ops@primemile.com.br</t>
  </si>
  <si>
    <t xml:space="preserve">05 — Propostas recebidas (cole aqui)</t>
  </si>
  <si>
    <t xml:space="preserve">Uma linha = uma lane × um carrier. Colunas A–F vêm do baseline; G–M o fornecedor preenche.</t>
  </si>
  <si>
    <t xml:space="preserve">Cobre_lane</t>
  </si>
  <si>
    <t xml:space="preserve">Preco_R$_kg</t>
  </si>
  <si>
    <t xml:space="preserve">Lead_time_h</t>
  </si>
  <si>
    <t xml:space="preserve">OTIF_prometido</t>
  </si>
  <si>
    <t xml:space="preserve">GRIS_informado</t>
  </si>
  <si>
    <t xml:space="preserve">Validade_tabela</t>
  </si>
  <si>
    <t xml:space="preserve">Observacao</t>
  </si>
  <si>
    <t xml:space="preserve">Status_validacao</t>
  </si>
  <si>
    <t xml:space="preserve">Motivo</t>
  </si>
  <si>
    <t xml:space="preserve">2027-09-30</t>
  </si>
  <si>
    <t xml:space="preserve">Não</t>
  </si>
  <si>
    <t xml:space="preserve">Fora de malha declarada</t>
  </si>
  <si>
    <t xml:space="preserve">Linhas OK</t>
  </si>
  <si>
    <t xml:space="preserve">Linhas ERRO</t>
  </si>
  <si>
    <t xml:space="preserve">Fora de malha</t>
  </si>
  <si>
    <t xml:space="preserve">07 — Comparativo por rota e fornecedor</t>
  </si>
  <si>
    <t xml:space="preserve">Custo mensal ofertado vs baseline. Só linhas OK entram. Verde = abaixo do atual.</t>
  </si>
  <si>
    <t xml:space="preserve">Status</t>
  </si>
  <si>
    <t xml:space="preserve">Custo_mensal_ofertado</t>
  </si>
  <si>
    <t xml:space="preserve">Custo_anual_ofertado</t>
  </si>
  <si>
    <t xml:space="preserve">Custo_mensal_baseline</t>
  </si>
  <si>
    <t xml:space="preserve">Delta_mensal</t>
  </si>
  <si>
    <t xml:space="preserve">Delta_%</t>
  </si>
  <si>
    <t xml:space="preserve">Lead_h</t>
  </si>
  <si>
    <t xml:space="preserve">OTIF</t>
  </si>
  <si>
    <t xml:space="preserve">Flag_dump</t>
  </si>
  <si>
    <t xml:space="preserve">Melhor_da_lane</t>
  </si>
  <si>
    <t xml:space="preserve">08 — Saving por lane (melhor oferta válida vs atual)</t>
  </si>
  <si>
    <t xml:space="preserve">Assume migração 100% da lane para o melhor custo OK e sem flag DUMP. Use 10_Cenarios para mix.</t>
  </si>
  <si>
    <t xml:space="preserve">Origem_Destino</t>
  </si>
  <si>
    <t xml:space="preserve">Custo_mensal_atual</t>
  </si>
  <si>
    <t xml:space="preserve">Melhor_carrier</t>
  </si>
  <si>
    <t xml:space="preserve">Melhor_custo_mensal</t>
  </si>
  <si>
    <t xml:space="preserve">Saving_mensal</t>
  </si>
  <si>
    <t xml:space="preserve">Saving_anual</t>
  </si>
  <si>
    <t xml:space="preserve">Saving_%</t>
  </si>
  <si>
    <t xml:space="preserve">R$_kg_atual</t>
  </si>
  <si>
    <t xml:space="preserve">R$_kg_melhor</t>
  </si>
  <si>
    <t xml:space="preserve">Qtd_ofertas_OK</t>
  </si>
  <si>
    <t xml:space="preserve">Meta de saving (Premissas)</t>
  </si>
  <si>
    <t xml:space="preserve">09 — Ranking ponderado dos fornecedores</t>
  </si>
  <si>
    <t xml:space="preserve">Score 0–100. Preço = custo anual ofertado nas lanes que o carrier cobre vs baseline dessas lanes.</t>
  </si>
  <si>
    <t xml:space="preserve">Lanes_OK</t>
  </si>
  <si>
    <t xml:space="preserve">Custo_anual_nas_lanes</t>
  </si>
  <si>
    <t xml:space="preserve">Baseline_nas_lanes</t>
  </si>
  <si>
    <t xml:space="preserve">Gap_preco_%</t>
  </si>
  <si>
    <t xml:space="preserve">Prazo_medio_h</t>
  </si>
  <si>
    <t xml:space="preserve">OTIF_medio</t>
  </si>
  <si>
    <t xml:space="preserve">Score_100</t>
  </si>
  <si>
    <t xml:space="preserve">Posicao</t>
  </si>
  <si>
    <t xml:space="preserve">Leitura do score</t>
  </si>
  <si>
    <t xml:space="preserve">Preço: gap negativo (mais barato que o baseline das lanes cobertas) sobe o score. Prazo: cada hora extra reduz pontos. OTIF entra linear. Cobertura premia quem atende mais lanes do anexo. Compliance vale 100 se RNTRC+seguro = Sim. Quem ganha preço mas perde malha não deve levar 100% do wallet.</t>
  </si>
  <si>
    <t xml:space="preserve">10 — Simulações e cenários de share of wallet</t>
  </si>
  <si>
    <t xml:space="preserve">Altere os % azuis. Custo do cenário usa o melhor carrier da lane no caso C e o incumbente implícito no baseline no caso A.</t>
  </si>
  <si>
    <t xml:space="preserve">Cenário</t>
  </si>
  <si>
    <t xml:space="preserve">Descrição</t>
  </si>
  <si>
    <t xml:space="preserve">Custo anual</t>
  </si>
  <si>
    <t xml:space="preserve">Saving vs A</t>
  </si>
  <si>
    <t xml:space="preserve">Saving %</t>
  </si>
  <si>
    <t xml:space="preserve">Risco de serviço</t>
  </si>
  <si>
    <t xml:space="preserve">A — Manter atual</t>
  </si>
  <si>
    <t xml:space="preserve">100% baseline (incumbente / tabela vigente)</t>
  </si>
  <si>
    <t xml:space="preserve">Conhecido</t>
  </si>
  <si>
    <t xml:space="preserve">B — 100% melhor preço por lane</t>
  </si>
  <si>
    <t xml:space="preserve">Migra cada lane ao menor custo OK sem DUMP</t>
  </si>
  <si>
    <t xml:space="preserve">Médio — multi-carrier, mais interfaces</t>
  </si>
  <si>
    <t xml:space="preserve">C — Híbrido (premissas)</t>
  </si>
  <si>
    <t xml:space="preserve">Share incumbente × baseline + share vencedor × melhor lane</t>
  </si>
  <si>
    <t xml:space="preserve">Baixo/médio — transição controlada</t>
  </si>
  <si>
    <t xml:space="preserve">D — Sensibilidade +10% volume</t>
  </si>
  <si>
    <t xml:space="preserve">Cenário B com volume 10% maior (mesma tarifa)</t>
  </si>
  <si>
    <t xml:space="preserve">Testa se a tabela escala</t>
  </si>
  <si>
    <t xml:space="preserve">Simulador manual de share (edite B12:B15; deve somar 100%)</t>
  </si>
  <si>
    <t xml:space="preserve">Carrier</t>
  </si>
  <si>
    <t xml:space="preserve">Share</t>
  </si>
  <si>
    <t xml:space="preserve">Custo anual se 100% das lanes que cobre</t>
  </si>
  <si>
    <t xml:space="preserve">Custo ponderado</t>
  </si>
  <si>
    <t xml:space="preserve">Soma share</t>
  </si>
  <si>
    <t xml:space="preserve">Custo anual simulado</t>
  </si>
  <si>
    <t xml:space="preserve">Atenção: soma custo das lanes cobertas — overlapping lanes conta duas vezes se share somado sem exclusão. Use como stress, não como P&amp;L.</t>
  </si>
  <si>
    <t xml:space="preserve">11 — Recomendação de contratação</t>
  </si>
  <si>
    <t xml:space="preserve">Veredito operacional. Confirme RNTRC, seguro, cubagem e 6 meses de OTIF antes de assinar.</t>
  </si>
  <si>
    <t xml:space="preserve">Recomendação: modelo híbrido (cenário C). Last mile Capital + ABC para Prime Mile SP. Sul (CWB/POA) para RodoSul. NE (SSA/FOR) e DF/GO para Nordeste Express. Leste/RJ e lanes residuais para TransLeste, com renegociação das tabelas L01–L02. Não migrar 100% no dia 1 — 60/40 conforme premissas, 90 dias de convivência e scorecard mensal.</t>
  </si>
  <si>
    <t xml:space="preserve">Por quê</t>
  </si>
  <si>
    <t xml:space="preserve">• Saving do cenário B (100% melhor lane) aparece em 08_Saving — é o teto teórico, não o plano.</t>
  </si>
  <si>
    <t xml:space="preserve">• Last mile do generalista está cara e com OTIF prometido pior; especialização reduz CTS e 2ª tentativa.</t>
  </si>
  <si>
    <t xml:space="preserve">• Long haul NE sem cobertura do Sul: forçar um nacional único encarece SSA/FOR ou quebra prazo.</t>
  </si>
  <si>
    <t xml:space="preserve">• Flag DUMP: se alguma tarifa ficar &lt;70% do preço atual da lane, trate como não confiável até provar ocupação.</t>
  </si>
  <si>
    <t xml:space="preserve">• Score em 09_Ranking equilibra preço com malha e serviço — barato sem cobertura perde wallet.</t>
  </si>
  <si>
    <t xml:space="preserve">Plano 30-60-90</t>
  </si>
  <si>
    <t xml:space="preserve">Fase</t>
  </si>
  <si>
    <t xml:space="preserve">Prazo</t>
  </si>
  <si>
    <t xml:space="preserve">Dono</t>
  </si>
  <si>
    <t xml:space="preserve">Ação</t>
  </si>
  <si>
    <t xml:space="preserve">30 dias</t>
  </si>
  <si>
    <t xml:space="preserve">Até 21/out</t>
  </si>
  <si>
    <t xml:space="preserve">Frete + Procurement</t>
  </si>
  <si>
    <t xml:space="preserve">Fechar template assinado, validar cubagem amostral, pedir evidência de OTIF 6 meses, checar RNTRC/seguro.</t>
  </si>
  <si>
    <t xml:space="preserve">60 dias</t>
  </si>
  <si>
    <t xml:space="preserve">Até 21/nov</t>
  </si>
  <si>
    <t xml:space="preserve">Ops + TMS</t>
  </si>
  <si>
    <t xml:space="preserve">Piloto last mile SP + 2 lanes FTL (CWB e SSA). Scorecard semanal. Contestação de fatura alinhada.</t>
  </si>
  <si>
    <t xml:space="preserve">90 dias</t>
  </si>
  <si>
    <t xml:space="preserve">Até 21/dez</t>
  </si>
  <si>
    <t xml:space="preserve">Gerente de transporte</t>
  </si>
  <si>
    <t xml:space="preserve">Share of wallet alvo, PIP para quem ficar vermelho, cláusula de exit e reajuste com teto.</t>
  </si>
  <si>
    <t xml:space="preserve">Riscos residuais e o que invalidaria</t>
  </si>
  <si>
    <t xml:space="preserve">Volume 2026 diferente do anexo; cubagem real &gt; fator 300; pedágio/GRIS fora da proposta; capacidade de doca no pico; jornada e gerenciadora de risco nas lanes L05–L06; chargeback de cliente final no last mile. Se OTIF real &lt; prometido −5 p.p. no piloto, pause a migração daquela lane.</t>
  </si>
  <si>
    <t xml:space="preserve">Pedido de decisão</t>
  </si>
  <si>
    <t xml:space="preserve">Aprovar abertura formal do RFQ com este anexo de volume; autorizar envio do template; reservar comitê de 60 min após 10/out para escolher cenário B vs C. Não assinar tabela única nacional só porque o R$/kg médio ficou menor.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</si>
</sst>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&quot;R$ &quot;#,##0;&quot;R$ (&quot;#,##0\);\-"/>
    <numFmt numFmtId="168" formatCode="&quot;R$ &quot;#,##0.00;&quot;R$ (&quot;#,##0.00\);\-"/>
    <numFmt numFmtId="169" formatCode="General"/>
    <numFmt numFmtId="170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365D"/>
      <name val="Calibri"/>
      <family val="0"/>
      <charset val="1"/>
    </font>
    <font>
      <i val="true"/>
      <sz val="10"/>
      <color rgb="FF546E7A"/>
      <name val="Calibri"/>
      <family val="0"/>
      <charset val="1"/>
    </font>
    <font>
      <b val="true"/>
      <sz val="13"/>
      <color rgb="FF0D7377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name val="Calibri"/>
      <family val="0"/>
      <charset val="1"/>
    </font>
    <font>
      <b val="true"/>
      <sz val="10"/>
      <color rgb="FF1B365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0000FF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2E7D32"/>
      <name val="Calibri"/>
      <family val="0"/>
      <charset val="1"/>
    </font>
    <font>
      <sz val="10"/>
      <color rgb="FF00800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D7377"/>
        <bgColor rgb="FF008080"/>
      </patternFill>
    </fill>
    <fill>
      <patternFill patternType="solid">
        <fgColor rgb="FF1B365D"/>
        <bgColor rgb="FF333333"/>
      </patternFill>
    </fill>
    <fill>
      <patternFill patternType="solid">
        <fgColor rgb="FFF4F6F8"/>
        <bgColor rgb="FFF9F9F9"/>
      </patternFill>
    </fill>
    <fill>
      <patternFill patternType="solid">
        <fgColor rgb="FFFFF3CD"/>
        <bgColor rgb="FFFFF8E1"/>
      </patternFill>
    </fill>
    <fill>
      <patternFill patternType="solid">
        <fgColor rgb="FFFFFFFF"/>
        <bgColor rgb="FFF9F9F9"/>
      </patternFill>
    </fill>
    <fill>
      <patternFill patternType="solid">
        <fgColor rgb="FFE8F5E9"/>
        <bgColor rgb="FFF4F6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1B365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3CD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8F5E9"/>
          <bgColor rgb="FF000000"/>
        </patternFill>
      </fill>
    </dxf>
    <dxf>
      <fill>
        <patternFill patternType="solid">
          <fgColor rgb="FFFFF8E1"/>
          <bgColor rgb="FF000000"/>
        </patternFill>
      </fill>
    </dxf>
    <dxf>
      <fill>
        <patternFill>
          <bgColor rgb="FFE8F5E9"/>
        </patternFill>
      </fill>
    </dxf>
    <dxf>
      <fill>
        <patternFill>
          <bgColor rgb="FFFFEBEE"/>
        </patternFill>
      </fill>
    </dxf>
    <dxf>
      <fill>
        <patternFill>
          <bgColor rgb="FFFFF8E1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FFEBEE"/>
          <bgColor rgb="FF000000"/>
        </patternFill>
      </fill>
    </dxf>
    <dxf>
      <fill>
        <patternFill patternType="solid">
          <fgColor rgb="FF2E7D32"/>
          <bgColor rgb="FF000000"/>
        </patternFill>
      </fill>
    </dxf>
    <dxf>
      <font>
        <b val="1"/>
        <color rgb="FF2E7D32"/>
      </font>
      <fill>
        <patternFill>
          <bgColor rgb="FFE8F5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377"/>
      <rgbColor rgb="FFD9D9D9"/>
      <rgbColor rgb="FF878787"/>
      <rgbColor rgb="FF9999FF"/>
      <rgbColor rgb="FF993366"/>
      <rgbColor rgb="FFFFF8E1"/>
      <rgbColor rgb="FFE8F5E9"/>
      <rgbColor rgb="FF660066"/>
      <rgbColor rgb="FFFF8080"/>
      <rgbColor rgb="FF0066CC"/>
      <rgbColor rgb="FFCFD8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8"/>
      <rgbColor rgb="FFF9F9F9"/>
      <rgbColor rgb="FFFFF3CD"/>
      <rgbColor rgb="FF99CCFF"/>
      <rgbColor rgb="FFFF99CC"/>
      <rgbColor rgb="FFCC99FF"/>
      <rgbColor rgb="FFFFEBEE"/>
      <rgbColor rgb="FF4F81BD"/>
      <rgbColor rgb="FF33CCCC"/>
      <rgbColor rgb="FF99CC00"/>
      <rgbColor rgb="FFFFCC00"/>
      <rgbColor rgb="FFFF9900"/>
      <rgbColor rgb="FFFF6600"/>
      <rgbColor rgb="FF546E7A"/>
      <rgbColor rgb="FF969696"/>
      <rgbColor rgb="FF1B365D"/>
      <rgbColor rgb="FF2E7D3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Score ponderado (0–100)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09_Ranking!I5</c:f>
              <c:strCache>
                <c:ptCount val="1"/>
                <c:pt idx="0">
                  <c:v>Score_100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09_Ranking!$B$6:$B$9</c:f>
              <c:strCache>
                <c:ptCount val="4"/>
                <c:pt idx="0">
                  <c:v>TransLeste</c:v>
                </c:pt>
                <c:pt idx="1">
                  <c:v>RodoSul Log</c:v>
                </c:pt>
                <c:pt idx="2">
                  <c:v>Nordeste Express</c:v>
                </c:pt>
                <c:pt idx="3">
                  <c:v>Prime Mile SP</c:v>
                </c:pt>
              </c:strCache>
            </c:strRef>
          </c:cat>
          <c:val>
            <c:numRef>
              <c:f>09_Ranking!$I$6:$I$9</c:f>
              <c:numCache>
                <c:formatCode>General</c:formatCode>
                <c:ptCount val="4"/>
                <c:pt idx="0">
                  <c:v>71.3</c:v>
                </c:pt>
                <c:pt idx="1">
                  <c:v>74.6</c:v>
                </c:pt>
                <c:pt idx="2">
                  <c:v>69.9</c:v>
                </c:pt>
                <c:pt idx="3">
                  <c:v>81.7</c:v>
                </c:pt>
              </c:numCache>
            </c:numRef>
          </c:val>
        </c:ser>
        <c:gapWidth val="150"/>
        <c:overlap val="0"/>
        <c:axId val="81480628"/>
        <c:axId val="83095786"/>
      </c:barChart>
      <c:catAx>
        <c:axId val="814806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095786"/>
        <c:crosses val="autoZero"/>
        <c:auto val="1"/>
        <c:lblAlgn val="ctr"/>
        <c:lblOffset val="100"/>
        <c:noMultiLvlLbl val="0"/>
      </c:catAx>
      <c:valAx>
        <c:axId val="8309578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48062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10</xdr:row>
      <xdr:rowOff>20880</xdr:rowOff>
    </xdr:from>
    <xdr:to>
      <xdr:col>4</xdr:col>
      <xdr:colOff>747000</xdr:colOff>
      <xdr:row>25</xdr:row>
      <xdr:rowOff>42120</xdr:rowOff>
    </xdr:to>
    <xdr:graphicFrame>
      <xdr:nvGraphicFramePr>
        <xdr:cNvPr id="0" name="Chart 1"/>
        <xdr:cNvGraphicFramePr/>
      </xdr:nvGraphicFramePr>
      <xdr:xfrm>
        <a:off x="0" y="2287800"/>
        <a:ext cx="5398920" cy="28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1" width="18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4" customFormat="false" ht="15.75" hidden="false" customHeight="true" outlineLevel="0" collapsed="false">
      <c r="A4" s="4" t="s">
        <v>2</v>
      </c>
    </row>
    <row r="6" customFormat="false" ht="15" hidden="false" customHeight="true" outlineLevel="0" collapsed="false">
      <c r="A6" s="5" t="s">
        <v>3</v>
      </c>
      <c r="B6" s="6" t="s">
        <v>4</v>
      </c>
      <c r="C6" s="6"/>
      <c r="D6" s="6"/>
      <c r="E6" s="6"/>
      <c r="F6" s="6"/>
      <c r="G6" s="6"/>
      <c r="H6" s="6"/>
    </row>
    <row r="7" customFormat="false" ht="15" hidden="false" customHeight="true" outlineLevel="0" collapsed="false">
      <c r="A7" s="5" t="s">
        <v>5</v>
      </c>
      <c r="B7" s="6" t="s">
        <v>6</v>
      </c>
      <c r="C7" s="6"/>
      <c r="D7" s="6"/>
      <c r="E7" s="6"/>
      <c r="F7" s="6"/>
      <c r="G7" s="6"/>
      <c r="H7" s="6"/>
    </row>
    <row r="8" customFormat="false" ht="15" hidden="false" customHeight="true" outlineLevel="0" collapsed="false">
      <c r="A8" s="5" t="s">
        <v>7</v>
      </c>
      <c r="B8" s="6" t="s">
        <v>8</v>
      </c>
      <c r="C8" s="6"/>
      <c r="D8" s="6"/>
      <c r="E8" s="6"/>
      <c r="F8" s="6"/>
      <c r="G8" s="6"/>
      <c r="H8" s="6"/>
    </row>
    <row r="9" customFormat="false" ht="15" hidden="false" customHeight="true" outlineLevel="0" collapsed="false">
      <c r="A9" s="5" t="s">
        <v>9</v>
      </c>
      <c r="B9" s="6" t="s">
        <v>10</v>
      </c>
      <c r="C9" s="6"/>
      <c r="D9" s="6"/>
      <c r="E9" s="6"/>
      <c r="F9" s="6"/>
      <c r="G9" s="6"/>
      <c r="H9" s="6"/>
    </row>
    <row r="10" customFormat="false" ht="15" hidden="false" customHeight="true" outlineLevel="0" collapsed="false">
      <c r="A10" s="5" t="s">
        <v>11</v>
      </c>
      <c r="B10" s="6" t="s">
        <v>12</v>
      </c>
      <c r="C10" s="6"/>
      <c r="D10" s="6"/>
      <c r="E10" s="6"/>
      <c r="F10" s="6"/>
      <c r="G10" s="6"/>
      <c r="H10" s="6"/>
    </row>
    <row r="11" customFormat="false" ht="15" hidden="false" customHeight="true" outlineLevel="0" collapsed="false">
      <c r="A11" s="5" t="s">
        <v>13</v>
      </c>
      <c r="B11" s="6" t="s">
        <v>14</v>
      </c>
      <c r="C11" s="6"/>
      <c r="D11" s="6"/>
      <c r="E11" s="6"/>
      <c r="F11" s="6"/>
      <c r="G11" s="6"/>
      <c r="H11" s="6"/>
    </row>
    <row r="13" customFormat="false" ht="15.75" hidden="false" customHeight="true" outlineLevel="0" collapsed="false">
      <c r="A13" s="4" t="s">
        <v>15</v>
      </c>
    </row>
    <row r="14" customFormat="false" ht="15" hidden="false" customHeight="true" outlineLevel="0" collapsed="false">
      <c r="A14" s="7" t="s">
        <v>16</v>
      </c>
      <c r="B14" s="8" t="s">
        <v>17</v>
      </c>
      <c r="C14" s="8"/>
      <c r="D14" s="8"/>
      <c r="E14" s="8"/>
      <c r="F14" s="8"/>
      <c r="G14" s="8"/>
      <c r="H14" s="8"/>
    </row>
    <row r="15" customFormat="false" ht="15" hidden="false" customHeight="true" outlineLevel="0" collapsed="false">
      <c r="A15" s="7" t="s">
        <v>18</v>
      </c>
      <c r="B15" s="8" t="s">
        <v>19</v>
      </c>
      <c r="C15" s="8"/>
      <c r="D15" s="8"/>
      <c r="E15" s="8"/>
      <c r="F15" s="8"/>
      <c r="G15" s="8"/>
      <c r="H15" s="8"/>
    </row>
    <row r="16" customFormat="false" ht="15" hidden="false" customHeight="true" outlineLevel="0" collapsed="false">
      <c r="A16" s="7" t="s">
        <v>20</v>
      </c>
      <c r="B16" s="8" t="s">
        <v>21</v>
      </c>
      <c r="C16" s="8"/>
      <c r="D16" s="8"/>
      <c r="E16" s="8"/>
      <c r="F16" s="8"/>
      <c r="G16" s="8"/>
      <c r="H16" s="8"/>
    </row>
    <row r="18" customFormat="false" ht="15.75" hidden="false" customHeight="true" outlineLevel="0" collapsed="false">
      <c r="A18" s="4" t="s">
        <v>22</v>
      </c>
    </row>
    <row r="19" customFormat="false" ht="27.75" hidden="false" customHeight="true" outlineLevel="0" collapsed="false">
      <c r="A19" s="6" t="s">
        <v>23</v>
      </c>
      <c r="B19" s="6"/>
      <c r="C19" s="6"/>
      <c r="D19" s="6"/>
      <c r="E19" s="6"/>
      <c r="F19" s="6"/>
      <c r="G19" s="6"/>
      <c r="H19" s="6"/>
    </row>
    <row r="20" customFormat="false" ht="27.75" hidden="false" customHeight="true" outlineLevel="0" collapsed="false">
      <c r="A20" s="6" t="s">
        <v>24</v>
      </c>
      <c r="B20" s="6"/>
      <c r="C20" s="6"/>
      <c r="D20" s="6"/>
      <c r="E20" s="6"/>
      <c r="F20" s="6"/>
      <c r="G20" s="6"/>
      <c r="H20" s="6"/>
    </row>
    <row r="21" customFormat="false" ht="27.75" hidden="false" customHeight="true" outlineLevel="0" collapsed="false">
      <c r="A21" s="6" t="s">
        <v>25</v>
      </c>
      <c r="B21" s="6"/>
      <c r="C21" s="6"/>
      <c r="D21" s="6"/>
      <c r="E21" s="6"/>
      <c r="F21" s="6"/>
      <c r="G21" s="6"/>
      <c r="H21" s="6"/>
    </row>
    <row r="22" customFormat="false" ht="27.75" hidden="false" customHeight="true" outlineLevel="0" collapsed="false">
      <c r="A22" s="6" t="s">
        <v>26</v>
      </c>
      <c r="B22" s="6"/>
      <c r="C22" s="6"/>
      <c r="D22" s="6"/>
      <c r="E22" s="6"/>
      <c r="F22" s="6"/>
      <c r="G22" s="6"/>
      <c r="H22" s="6"/>
    </row>
    <row r="23" customFormat="false" ht="27.75" hidden="false" customHeight="true" outlineLevel="0" collapsed="false">
      <c r="A23" s="6" t="s">
        <v>27</v>
      </c>
      <c r="B23" s="6"/>
      <c r="C23" s="6"/>
      <c r="D23" s="6"/>
      <c r="E23" s="6"/>
      <c r="F23" s="6"/>
      <c r="G23" s="6"/>
      <c r="H23" s="6"/>
    </row>
    <row r="24" customFormat="false" ht="27.75" hidden="false" customHeight="true" outlineLevel="0" collapsed="false">
      <c r="A24" s="6" t="s">
        <v>28</v>
      </c>
      <c r="B24" s="6"/>
      <c r="C24" s="6"/>
      <c r="D24" s="6"/>
      <c r="E24" s="6"/>
      <c r="F24" s="6"/>
      <c r="G24" s="6"/>
      <c r="H24" s="6"/>
    </row>
    <row r="26" customFormat="false" ht="15.75" hidden="false" customHeight="true" outlineLevel="0" collapsed="false">
      <c r="A26" s="4" t="s">
        <v>29</v>
      </c>
    </row>
    <row r="27" customFormat="false" ht="15" hidden="false" customHeight="true" outlineLevel="0" collapsed="false">
      <c r="A27" s="6" t="s">
        <v>30</v>
      </c>
      <c r="B27" s="6"/>
      <c r="C27" s="6"/>
      <c r="D27" s="6"/>
      <c r="E27" s="6"/>
      <c r="F27" s="6"/>
      <c r="G27" s="6"/>
      <c r="H27" s="6"/>
    </row>
    <row r="28" customFormat="false" ht="15" hidden="false" customHeight="true" outlineLevel="0" collapsed="false">
      <c r="A28" s="6"/>
      <c r="B28" s="6"/>
      <c r="C28" s="6"/>
      <c r="D28" s="6"/>
      <c r="E28" s="6"/>
      <c r="F28" s="6"/>
      <c r="G28" s="6"/>
      <c r="H28" s="6"/>
    </row>
  </sheetData>
  <mergeCells count="18">
    <mergeCell ref="A1:H1"/>
    <mergeCell ref="A2:H2"/>
    <mergeCell ref="B6:H6"/>
    <mergeCell ref="B7:H7"/>
    <mergeCell ref="B8:H8"/>
    <mergeCell ref="B9:H9"/>
    <mergeCell ref="B10:H10"/>
    <mergeCell ref="B11:H11"/>
    <mergeCell ref="B14:H14"/>
    <mergeCell ref="B15:H15"/>
    <mergeCell ref="B16:H16"/>
    <mergeCell ref="A19:H19"/>
    <mergeCell ref="A20:H20"/>
    <mergeCell ref="A21:H21"/>
    <mergeCell ref="A22:H22"/>
    <mergeCell ref="A23:H23"/>
    <mergeCell ref="A24:H24"/>
    <mergeCell ref="A27:H28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90"/>
  </cols>
  <sheetData>
    <row r="1" customFormat="false" ht="27.75" hidden="false" customHeight="true" outlineLevel="0" collapsed="false">
      <c r="A1" s="2" t="s">
        <v>31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32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9" t="s">
        <v>33</v>
      </c>
      <c r="B4" s="9" t="s">
        <v>34</v>
      </c>
    </row>
    <row r="5" customFormat="false" ht="21.75" hidden="false" customHeight="true" outlineLevel="0" collapsed="false">
      <c r="A5" s="10" t="s">
        <v>35</v>
      </c>
      <c r="B5" s="11" t="s">
        <v>36</v>
      </c>
    </row>
    <row r="6" customFormat="false" ht="21.75" hidden="false" customHeight="true" outlineLevel="0" collapsed="false">
      <c r="A6" s="10" t="s">
        <v>37</v>
      </c>
      <c r="B6" s="11" t="s">
        <v>38</v>
      </c>
    </row>
    <row r="7" customFormat="false" ht="21.75" hidden="false" customHeight="true" outlineLevel="0" collapsed="false">
      <c r="A7" s="10" t="s">
        <v>39</v>
      </c>
      <c r="B7" s="11" t="s">
        <v>40</v>
      </c>
    </row>
    <row r="8" customFormat="false" ht="21.75" hidden="false" customHeight="true" outlineLevel="0" collapsed="false">
      <c r="A8" s="10" t="s">
        <v>41</v>
      </c>
      <c r="B8" s="11" t="s">
        <v>42</v>
      </c>
    </row>
    <row r="9" customFormat="false" ht="21.75" hidden="false" customHeight="true" outlineLevel="0" collapsed="false">
      <c r="A9" s="10" t="s">
        <v>43</v>
      </c>
      <c r="B9" s="11" t="s">
        <v>44</v>
      </c>
    </row>
    <row r="10" customFormat="false" ht="21.75" hidden="false" customHeight="true" outlineLevel="0" collapsed="false">
      <c r="A10" s="10" t="s">
        <v>45</v>
      </c>
      <c r="B10" s="11" t="s">
        <v>46</v>
      </c>
    </row>
    <row r="11" customFormat="false" ht="21.75" hidden="false" customHeight="true" outlineLevel="0" collapsed="false">
      <c r="A11" s="10" t="s">
        <v>47</v>
      </c>
      <c r="B11" s="11" t="s">
        <v>48</v>
      </c>
    </row>
    <row r="12" customFormat="false" ht="21.75" hidden="false" customHeight="true" outlineLevel="0" collapsed="false">
      <c r="A12" s="10" t="s">
        <v>49</v>
      </c>
      <c r="B12" s="11" t="s">
        <v>50</v>
      </c>
    </row>
    <row r="13" customFormat="false" ht="21.75" hidden="false" customHeight="true" outlineLevel="0" collapsed="false">
      <c r="A13" s="10" t="s">
        <v>51</v>
      </c>
      <c r="B13" s="11" t="s">
        <v>52</v>
      </c>
    </row>
    <row r="14" customFormat="false" ht="21.75" hidden="false" customHeight="true" outlineLevel="0" collapsed="false">
      <c r="A14" s="10" t="s">
        <v>53</v>
      </c>
      <c r="B14" s="11" t="s">
        <v>54</v>
      </c>
    </row>
    <row r="15" customFormat="false" ht="21.75" hidden="false" customHeight="true" outlineLevel="0" collapsed="false">
      <c r="A15" s="10" t="s">
        <v>55</v>
      </c>
      <c r="B15" s="11" t="s">
        <v>56</v>
      </c>
    </row>
    <row r="16" customFormat="false" ht="21.75" hidden="false" customHeight="true" outlineLevel="0" collapsed="false">
      <c r="A16" s="10" t="s">
        <v>57</v>
      </c>
      <c r="B16" s="11" t="s">
        <v>58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22"/>
    <col collapsed="false" customWidth="true" hidden="false" outlineLevel="0" max="3" min="3" style="1" width="18"/>
    <col collapsed="false" customWidth="true" hidden="false" outlineLevel="0" max="4" min="4" style="1" width="48"/>
    <col collapsed="false" customWidth="true" hidden="false" outlineLevel="0" max="6" min="5" style="1" width="16"/>
  </cols>
  <sheetData>
    <row r="1" customFormat="false" ht="27.75" hidden="false" customHeight="true" outlineLevel="0" collapsed="false">
      <c r="A1" s="2" t="s">
        <v>59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60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9" t="s">
        <v>61</v>
      </c>
      <c r="B4" s="9" t="s">
        <v>62</v>
      </c>
      <c r="C4" s="9" t="s">
        <v>63</v>
      </c>
      <c r="D4" s="9" t="s">
        <v>64</v>
      </c>
    </row>
    <row r="5" customFormat="false" ht="15" hidden="false" customHeight="true" outlineLevel="0" collapsed="false">
      <c r="A5" s="10" t="s">
        <v>65</v>
      </c>
      <c r="B5" s="12" t="s">
        <v>66</v>
      </c>
      <c r="C5" s="13" t="s">
        <v>67</v>
      </c>
      <c r="D5" s="13" t="s">
        <v>68</v>
      </c>
    </row>
    <row r="6" customFormat="false" ht="15" hidden="false" customHeight="true" outlineLevel="0" collapsed="false">
      <c r="A6" s="10" t="s">
        <v>69</v>
      </c>
      <c r="B6" s="12" t="s">
        <v>70</v>
      </c>
      <c r="C6" s="13" t="s">
        <v>71</v>
      </c>
      <c r="D6" s="13" t="s">
        <v>72</v>
      </c>
    </row>
    <row r="7" customFormat="false" ht="15" hidden="false" customHeight="true" outlineLevel="0" collapsed="false">
      <c r="A7" s="10" t="s">
        <v>73</v>
      </c>
      <c r="B7" s="12" t="s">
        <v>74</v>
      </c>
      <c r="C7" s="13" t="s">
        <v>71</v>
      </c>
      <c r="D7" s="13" t="s">
        <v>75</v>
      </c>
    </row>
    <row r="8" customFormat="false" ht="15" hidden="false" customHeight="true" outlineLevel="0" collapsed="false">
      <c r="A8" s="10" t="s">
        <v>76</v>
      </c>
      <c r="B8" s="14" t="n">
        <v>12</v>
      </c>
      <c r="C8" s="13" t="s">
        <v>77</v>
      </c>
      <c r="D8" s="13" t="s">
        <v>78</v>
      </c>
    </row>
    <row r="9" customFormat="false" ht="15" hidden="false" customHeight="true" outlineLevel="0" collapsed="false">
      <c r="A9" s="10" t="s">
        <v>79</v>
      </c>
      <c r="B9" s="14" t="n">
        <v>300</v>
      </c>
      <c r="C9" s="13" t="s">
        <v>80</v>
      </c>
      <c r="D9" s="13" t="s">
        <v>81</v>
      </c>
    </row>
    <row r="10" customFormat="false" ht="15" hidden="false" customHeight="true" outlineLevel="0" collapsed="false">
      <c r="A10" s="10" t="s">
        <v>82</v>
      </c>
      <c r="B10" s="15" t="n">
        <v>0.0015</v>
      </c>
      <c r="C10" s="13" t="s">
        <v>83</v>
      </c>
      <c r="D10" s="13" t="s">
        <v>84</v>
      </c>
    </row>
    <row r="11" customFormat="false" ht="15" hidden="false" customHeight="true" outlineLevel="0" collapsed="false">
      <c r="A11" s="10" t="s">
        <v>85</v>
      </c>
      <c r="B11" s="15" t="n">
        <v>0.45</v>
      </c>
      <c r="C11" s="13" t="s">
        <v>83</v>
      </c>
      <c r="D11" s="13" t="s">
        <v>86</v>
      </c>
    </row>
    <row r="12" customFormat="false" ht="15" hidden="false" customHeight="true" outlineLevel="0" collapsed="false">
      <c r="A12" s="10" t="s">
        <v>87</v>
      </c>
      <c r="B12" s="15" t="n">
        <v>0.25</v>
      </c>
      <c r="C12" s="13" t="s">
        <v>83</v>
      </c>
      <c r="D12" s="13" t="s">
        <v>86</v>
      </c>
    </row>
    <row r="13" customFormat="false" ht="15" hidden="false" customHeight="true" outlineLevel="0" collapsed="false">
      <c r="A13" s="10" t="s">
        <v>88</v>
      </c>
      <c r="B13" s="15" t="n">
        <v>0.15</v>
      </c>
      <c r="C13" s="13" t="s">
        <v>83</v>
      </c>
      <c r="D13" s="13" t="s">
        <v>86</v>
      </c>
    </row>
    <row r="14" customFormat="false" ht="15" hidden="false" customHeight="true" outlineLevel="0" collapsed="false">
      <c r="A14" s="10" t="s">
        <v>89</v>
      </c>
      <c r="B14" s="15" t="n">
        <v>0.1</v>
      </c>
      <c r="C14" s="13" t="s">
        <v>83</v>
      </c>
      <c r="D14" s="13" t="s">
        <v>86</v>
      </c>
    </row>
    <row r="15" customFormat="false" ht="15" hidden="false" customHeight="true" outlineLevel="0" collapsed="false">
      <c r="A15" s="10" t="s">
        <v>90</v>
      </c>
      <c r="B15" s="15" t="n">
        <v>0.05</v>
      </c>
      <c r="C15" s="13" t="s">
        <v>83</v>
      </c>
      <c r="D15" s="13" t="s">
        <v>86</v>
      </c>
    </row>
    <row r="16" customFormat="false" ht="15" hidden="false" customHeight="true" outlineLevel="0" collapsed="false">
      <c r="A16" s="10" t="s">
        <v>91</v>
      </c>
      <c r="B16" s="15" t="n">
        <v>0.7</v>
      </c>
      <c r="C16" s="13" t="s">
        <v>83</v>
      </c>
      <c r="D16" s="13" t="s">
        <v>92</v>
      </c>
    </row>
    <row r="17" customFormat="false" ht="15" hidden="false" customHeight="true" outlineLevel="0" collapsed="false">
      <c r="A17" s="10" t="s">
        <v>93</v>
      </c>
      <c r="B17" s="15" t="n">
        <v>1.25</v>
      </c>
      <c r="C17" s="13" t="s">
        <v>83</v>
      </c>
      <c r="D17" s="13" t="s">
        <v>94</v>
      </c>
    </row>
    <row r="18" customFormat="false" ht="15" hidden="false" customHeight="true" outlineLevel="0" collapsed="false">
      <c r="A18" s="10" t="s">
        <v>95</v>
      </c>
      <c r="B18" s="15" t="n">
        <v>0.4</v>
      </c>
      <c r="C18" s="13" t="s">
        <v>96</v>
      </c>
      <c r="D18" s="13" t="s">
        <v>97</v>
      </c>
    </row>
    <row r="19" customFormat="false" ht="15" hidden="false" customHeight="true" outlineLevel="0" collapsed="false">
      <c r="A19" s="10" t="s">
        <v>98</v>
      </c>
      <c r="B19" s="15" t="n">
        <v>0.6</v>
      </c>
      <c r="C19" s="13" t="s">
        <v>96</v>
      </c>
      <c r="D19" s="13" t="s">
        <v>99</v>
      </c>
    </row>
    <row r="20" customFormat="false" ht="15" hidden="false" customHeight="true" outlineLevel="0" collapsed="false">
      <c r="A20" s="10" t="s">
        <v>100</v>
      </c>
      <c r="B20" s="15" t="n">
        <v>0.08</v>
      </c>
      <c r="C20" s="13" t="s">
        <v>83</v>
      </c>
      <c r="D20" s="13" t="s">
        <v>101</v>
      </c>
    </row>
    <row r="21" customFormat="false" ht="15" hidden="false" customHeight="true" outlineLevel="0" collapsed="false">
      <c r="A21" s="10" t="s">
        <v>102</v>
      </c>
      <c r="B21" s="12" t="s">
        <v>103</v>
      </c>
      <c r="C21" s="13" t="s">
        <v>67</v>
      </c>
      <c r="D21" s="13" t="s">
        <v>104</v>
      </c>
    </row>
    <row r="22" customFormat="false" ht="15" hidden="false" customHeight="true" outlineLevel="0" collapsed="false">
      <c r="A22" s="10" t="s">
        <v>105</v>
      </c>
      <c r="B22" s="12" t="s">
        <v>106</v>
      </c>
      <c r="C22" s="13" t="s">
        <v>67</v>
      </c>
      <c r="D22" s="13" t="s">
        <v>107</v>
      </c>
    </row>
    <row r="24" customFormat="false" ht="15.75" hidden="false" customHeight="true" outlineLevel="0" collapsed="false">
      <c r="A24" s="4" t="s">
        <v>108</v>
      </c>
    </row>
    <row r="25" customFormat="false" ht="15" hidden="false" customHeight="true" outlineLevel="0" collapsed="false">
      <c r="B25" s="16" t="n">
        <f aca="false">B11+B12+B13+B14+B15</f>
        <v>1</v>
      </c>
      <c r="C25" s="17" t="str">
        <f aca="false">IF(ABS(B25-1)&lt;0.001,"OK — pesos fecham 100%","AJUSTAR PESOS")</f>
        <v>OK — pesos fecham 100%</v>
      </c>
    </row>
    <row r="27" customFormat="false" ht="15.75" hidden="false" customHeight="true" outlineLevel="0" collapsed="false">
      <c r="A27" s="4" t="s">
        <v>109</v>
      </c>
    </row>
    <row r="28" customFormat="false" ht="15" hidden="false" customHeight="true" outlineLevel="0" collapsed="false">
      <c r="B28" s="18" t="s">
        <v>110</v>
      </c>
      <c r="C28" s="18"/>
      <c r="D28" s="18"/>
    </row>
  </sheetData>
  <mergeCells count="3">
    <mergeCell ref="A1:F1"/>
    <mergeCell ref="A2:F2"/>
    <mergeCell ref="B28:D28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3" min="2" style="1" width="22"/>
    <col collapsed="false" customWidth="true" hidden="false" outlineLevel="0" max="4" min="4" style="1" width="10"/>
    <col collapsed="false" customWidth="true" hidden="false" outlineLevel="0" max="5" min="5" style="1" width="12"/>
    <col collapsed="false" customWidth="true" hidden="false" outlineLevel="0" max="6" min="6" style="1" width="16"/>
    <col collapsed="false" customWidth="true" hidden="false" outlineLevel="0" max="8" min="7" style="1" width="12"/>
    <col collapsed="false" customWidth="true" hidden="false" outlineLevel="0" max="9" min="9" style="1" width="13"/>
    <col collapsed="false" customWidth="true" hidden="false" outlineLevel="0" max="12" min="10" style="1" width="16"/>
    <col collapsed="false" customWidth="true" hidden="false" outlineLevel="0" max="13" min="13" style="1" width="18"/>
    <col collapsed="false" customWidth="true" hidden="false" outlineLevel="0" max="14" min="14" style="1" width="16"/>
    <col collapsed="false" customWidth="true" hidden="false" outlineLevel="0" max="15" min="15" style="1" width="12"/>
    <col collapsed="false" customWidth="true" hidden="false" outlineLevel="0" max="16" min="16" style="1" width="16"/>
  </cols>
  <sheetData>
    <row r="1" customFormat="false" ht="27.75" hidden="false" customHeight="true" outlineLevel="0" collapsed="false">
      <c r="A1" s="2" t="s">
        <v>111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8" hidden="false" customHeight="true" outlineLevel="0" collapsed="false">
      <c r="A2" s="3" t="s">
        <v>112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5" customFormat="false" ht="30" hidden="false" customHeight="true" outlineLevel="0" collapsed="false">
      <c r="A5" s="9" t="s">
        <v>113</v>
      </c>
      <c r="B5" s="9" t="s">
        <v>114</v>
      </c>
      <c r="C5" s="9" t="s">
        <v>115</v>
      </c>
      <c r="D5" s="9" t="s">
        <v>116</v>
      </c>
      <c r="E5" s="9" t="s">
        <v>117</v>
      </c>
      <c r="F5" s="9" t="s">
        <v>118</v>
      </c>
      <c r="G5" s="9" t="s">
        <v>119</v>
      </c>
      <c r="H5" s="9" t="s">
        <v>120</v>
      </c>
      <c r="I5" s="9" t="s">
        <v>121</v>
      </c>
      <c r="J5" s="9" t="s">
        <v>122</v>
      </c>
      <c r="K5" s="9" t="s">
        <v>123</v>
      </c>
      <c r="L5" s="9" t="s">
        <v>124</v>
      </c>
      <c r="M5" s="9" t="s">
        <v>125</v>
      </c>
      <c r="N5" s="9" t="s">
        <v>126</v>
      </c>
      <c r="O5" s="9" t="s">
        <v>127</v>
      </c>
      <c r="P5" s="9" t="s">
        <v>128</v>
      </c>
    </row>
    <row r="6" customFormat="false" ht="15" hidden="false" customHeight="true" outlineLevel="0" collapsed="false">
      <c r="A6" s="19" t="s">
        <v>129</v>
      </c>
      <c r="B6" s="11" t="s">
        <v>130</v>
      </c>
      <c r="C6" s="11" t="s">
        <v>131</v>
      </c>
      <c r="D6" s="19" t="s">
        <v>132</v>
      </c>
      <c r="E6" s="19" t="s">
        <v>133</v>
      </c>
      <c r="F6" s="19" t="s">
        <v>134</v>
      </c>
      <c r="G6" s="14" t="n">
        <v>280000</v>
      </c>
      <c r="H6" s="14" t="n">
        <v>980</v>
      </c>
      <c r="I6" s="14" t="n">
        <v>22</v>
      </c>
      <c r="J6" s="20" t="n">
        <v>9800000</v>
      </c>
      <c r="K6" s="21" t="n">
        <v>0.28</v>
      </c>
      <c r="L6" s="21" t="n">
        <v>420</v>
      </c>
      <c r="M6" s="21" t="n">
        <v>1800</v>
      </c>
      <c r="N6" s="14" t="n">
        <v>12</v>
      </c>
      <c r="O6" s="15" t="n">
        <v>0.94</v>
      </c>
      <c r="P6" s="22" t="s">
        <v>135</v>
      </c>
    </row>
    <row r="7" customFormat="false" ht="15" hidden="false" customHeight="true" outlineLevel="0" collapsed="false">
      <c r="A7" s="19" t="s">
        <v>136</v>
      </c>
      <c r="B7" s="11" t="s">
        <v>130</v>
      </c>
      <c r="C7" s="11" t="s">
        <v>137</v>
      </c>
      <c r="D7" s="19" t="s">
        <v>138</v>
      </c>
      <c r="E7" s="19" t="s">
        <v>133</v>
      </c>
      <c r="F7" s="19" t="s">
        <v>134</v>
      </c>
      <c r="G7" s="14" t="n">
        <v>210000</v>
      </c>
      <c r="H7" s="14" t="n">
        <v>740</v>
      </c>
      <c r="I7" s="14" t="n">
        <v>16</v>
      </c>
      <c r="J7" s="20" t="n">
        <v>7200000</v>
      </c>
      <c r="K7" s="21" t="n">
        <v>0.31</v>
      </c>
      <c r="L7" s="21" t="n">
        <v>380</v>
      </c>
      <c r="M7" s="21" t="n">
        <v>1700</v>
      </c>
      <c r="N7" s="14" t="n">
        <v>10</v>
      </c>
      <c r="O7" s="15" t="n">
        <v>0.93</v>
      </c>
      <c r="P7" s="22"/>
    </row>
    <row r="8" customFormat="false" ht="15" hidden="false" customHeight="true" outlineLevel="0" collapsed="false">
      <c r="A8" s="19" t="s">
        <v>139</v>
      </c>
      <c r="B8" s="11" t="s">
        <v>130</v>
      </c>
      <c r="C8" s="11" t="s">
        <v>140</v>
      </c>
      <c r="D8" s="19" t="s">
        <v>141</v>
      </c>
      <c r="E8" s="19" t="s">
        <v>133</v>
      </c>
      <c r="F8" s="19" t="s">
        <v>134</v>
      </c>
      <c r="G8" s="14" t="n">
        <v>160000</v>
      </c>
      <c r="H8" s="14" t="n">
        <v>560</v>
      </c>
      <c r="I8" s="14" t="n">
        <v>12</v>
      </c>
      <c r="J8" s="20" t="n">
        <v>5100000</v>
      </c>
      <c r="K8" s="21" t="n">
        <v>0.27</v>
      </c>
      <c r="L8" s="21" t="n">
        <v>310</v>
      </c>
      <c r="M8" s="21" t="n">
        <v>1600</v>
      </c>
      <c r="N8" s="14" t="n">
        <v>9</v>
      </c>
      <c r="O8" s="15" t="n">
        <v>0.95</v>
      </c>
      <c r="P8" s="22"/>
    </row>
    <row r="9" customFormat="false" ht="15" hidden="false" customHeight="true" outlineLevel="0" collapsed="false">
      <c r="A9" s="19" t="s">
        <v>142</v>
      </c>
      <c r="B9" s="11" t="s">
        <v>130</v>
      </c>
      <c r="C9" s="11" t="s">
        <v>143</v>
      </c>
      <c r="D9" s="19" t="s">
        <v>144</v>
      </c>
      <c r="E9" s="19" t="s">
        <v>133</v>
      </c>
      <c r="F9" s="19" t="s">
        <v>134</v>
      </c>
      <c r="G9" s="14" t="n">
        <v>120000</v>
      </c>
      <c r="H9" s="14" t="n">
        <v>430</v>
      </c>
      <c r="I9" s="14" t="n">
        <v>9</v>
      </c>
      <c r="J9" s="20" t="n">
        <v>3900000</v>
      </c>
      <c r="K9" s="21" t="n">
        <v>0.42</v>
      </c>
      <c r="L9" s="21" t="n">
        <v>780</v>
      </c>
      <c r="M9" s="21" t="n">
        <v>2200</v>
      </c>
      <c r="N9" s="14" t="n">
        <v>20</v>
      </c>
      <c r="O9" s="15" t="n">
        <v>0.91</v>
      </c>
      <c r="P9" s="22" t="s">
        <v>145</v>
      </c>
    </row>
    <row r="10" customFormat="false" ht="15" hidden="false" customHeight="true" outlineLevel="0" collapsed="false">
      <c r="A10" s="19" t="s">
        <v>146</v>
      </c>
      <c r="B10" s="11" t="s">
        <v>130</v>
      </c>
      <c r="C10" s="11" t="s">
        <v>147</v>
      </c>
      <c r="D10" s="19" t="s">
        <v>148</v>
      </c>
      <c r="E10" s="19" t="s">
        <v>133</v>
      </c>
      <c r="F10" s="19" t="s">
        <v>134</v>
      </c>
      <c r="G10" s="14" t="n">
        <v>90000</v>
      </c>
      <c r="H10" s="14" t="n">
        <v>320</v>
      </c>
      <c r="I10" s="14" t="n">
        <v>7</v>
      </c>
      <c r="J10" s="20" t="n">
        <v>3100000</v>
      </c>
      <c r="K10" s="21" t="n">
        <v>0.58</v>
      </c>
      <c r="L10" s="21" t="n">
        <v>920</v>
      </c>
      <c r="M10" s="21" t="n">
        <v>2800</v>
      </c>
      <c r="N10" s="14" t="n">
        <v>36</v>
      </c>
      <c r="O10" s="15" t="n">
        <v>0.88</v>
      </c>
      <c r="P10" s="22" t="s">
        <v>149</v>
      </c>
    </row>
    <row r="11" customFormat="false" ht="15" hidden="false" customHeight="true" outlineLevel="0" collapsed="false">
      <c r="A11" s="19" t="s">
        <v>150</v>
      </c>
      <c r="B11" s="11" t="s">
        <v>130</v>
      </c>
      <c r="C11" s="11" t="s">
        <v>151</v>
      </c>
      <c r="D11" s="19" t="s">
        <v>152</v>
      </c>
      <c r="E11" s="19" t="s">
        <v>133</v>
      </c>
      <c r="F11" s="19" t="s">
        <v>134</v>
      </c>
      <c r="G11" s="14" t="n">
        <v>55000</v>
      </c>
      <c r="H11" s="14" t="n">
        <v>200</v>
      </c>
      <c r="I11" s="14" t="n">
        <v>4</v>
      </c>
      <c r="J11" s="20" t="n">
        <v>2100000</v>
      </c>
      <c r="K11" s="21" t="n">
        <v>0.79</v>
      </c>
      <c r="L11" s="21" t="n">
        <v>1450</v>
      </c>
      <c r="M11" s="21" t="n">
        <v>3500</v>
      </c>
      <c r="N11" s="14" t="n">
        <v>60</v>
      </c>
      <c r="O11" s="15" t="n">
        <v>0.86</v>
      </c>
      <c r="P11" s="22" t="s">
        <v>153</v>
      </c>
    </row>
    <row r="12" customFormat="false" ht="15" hidden="false" customHeight="true" outlineLevel="0" collapsed="false">
      <c r="A12" s="19" t="s">
        <v>154</v>
      </c>
      <c r="B12" s="11" t="s">
        <v>130</v>
      </c>
      <c r="C12" s="11" t="s">
        <v>155</v>
      </c>
      <c r="D12" s="19" t="s">
        <v>156</v>
      </c>
      <c r="E12" s="19" t="s">
        <v>157</v>
      </c>
      <c r="F12" s="19" t="s">
        <v>158</v>
      </c>
      <c r="G12" s="14" t="n">
        <v>42000</v>
      </c>
      <c r="H12" s="14" t="n">
        <v>180</v>
      </c>
      <c r="I12" s="14" t="n">
        <v>48</v>
      </c>
      <c r="J12" s="20" t="n">
        <v>1800000</v>
      </c>
      <c r="K12" s="21" t="n">
        <v>0.45</v>
      </c>
      <c r="L12" s="21" t="n">
        <v>85</v>
      </c>
      <c r="M12" s="21" t="n">
        <v>220</v>
      </c>
      <c r="N12" s="14" t="n">
        <v>8</v>
      </c>
      <c r="O12" s="15" t="n">
        <v>0.92</v>
      </c>
      <c r="P12" s="22" t="s">
        <v>159</v>
      </c>
    </row>
    <row r="13" customFormat="false" ht="15" hidden="false" customHeight="true" outlineLevel="0" collapsed="false">
      <c r="A13" s="19" t="s">
        <v>160</v>
      </c>
      <c r="B13" s="11" t="s">
        <v>130</v>
      </c>
      <c r="C13" s="11" t="s">
        <v>161</v>
      </c>
      <c r="D13" s="19" t="s">
        <v>156</v>
      </c>
      <c r="E13" s="19" t="s">
        <v>157</v>
      </c>
      <c r="F13" s="19" t="s">
        <v>162</v>
      </c>
      <c r="G13" s="14" t="n">
        <v>68000</v>
      </c>
      <c r="H13" s="14" t="n">
        <v>260</v>
      </c>
      <c r="I13" s="14" t="n">
        <v>60</v>
      </c>
      <c r="J13" s="20" t="n">
        <v>2400000</v>
      </c>
      <c r="K13" s="21" t="n">
        <v>0.41</v>
      </c>
      <c r="L13" s="21" t="n">
        <v>95</v>
      </c>
      <c r="M13" s="21" t="n">
        <v>250</v>
      </c>
      <c r="N13" s="14" t="n">
        <v>16</v>
      </c>
      <c r="O13" s="15" t="n">
        <v>0.9</v>
      </c>
      <c r="P13" s="22" t="s">
        <v>163</v>
      </c>
    </row>
    <row r="14" customFormat="false" ht="15" hidden="false" customHeight="true" outlineLevel="0" collapsed="false">
      <c r="A14" s="19" t="s">
        <v>164</v>
      </c>
      <c r="B14" s="11" t="s">
        <v>130</v>
      </c>
      <c r="C14" s="11" t="s">
        <v>165</v>
      </c>
      <c r="D14" s="19" t="s">
        <v>156</v>
      </c>
      <c r="E14" s="19" t="s">
        <v>166</v>
      </c>
      <c r="F14" s="19" t="s">
        <v>167</v>
      </c>
      <c r="G14" s="14" t="n">
        <v>38000</v>
      </c>
      <c r="H14" s="14" t="n">
        <v>210</v>
      </c>
      <c r="I14" s="14" t="n">
        <v>520</v>
      </c>
      <c r="J14" s="20" t="n">
        <v>4200000</v>
      </c>
      <c r="K14" s="21" t="n">
        <v>1.85</v>
      </c>
      <c r="L14" s="21" t="n">
        <v>0</v>
      </c>
      <c r="M14" s="21" t="n">
        <v>18</v>
      </c>
      <c r="N14" s="14" t="n">
        <v>24</v>
      </c>
      <c r="O14" s="15" t="n">
        <v>0.89</v>
      </c>
      <c r="P14" s="22" t="s">
        <v>168</v>
      </c>
    </row>
    <row r="15" customFormat="false" ht="15" hidden="false" customHeight="true" outlineLevel="0" collapsed="false">
      <c r="A15" s="19" t="s">
        <v>169</v>
      </c>
      <c r="B15" s="11" t="s">
        <v>130</v>
      </c>
      <c r="C15" s="11" t="s">
        <v>170</v>
      </c>
      <c r="D15" s="19" t="s">
        <v>156</v>
      </c>
      <c r="E15" s="19" t="s">
        <v>166</v>
      </c>
      <c r="F15" s="19" t="s">
        <v>171</v>
      </c>
      <c r="G15" s="14" t="n">
        <v>22000</v>
      </c>
      <c r="H15" s="14" t="n">
        <v>120</v>
      </c>
      <c r="I15" s="14" t="n">
        <v>280</v>
      </c>
      <c r="J15" s="20" t="n">
        <v>1900000</v>
      </c>
      <c r="K15" s="21" t="n">
        <v>1.62</v>
      </c>
      <c r="L15" s="21" t="n">
        <v>0</v>
      </c>
      <c r="M15" s="21" t="n">
        <v>16</v>
      </c>
      <c r="N15" s="14" t="n">
        <v>24</v>
      </c>
      <c r="O15" s="15" t="n">
        <v>0.91</v>
      </c>
      <c r="P15" s="22" t="s">
        <v>172</v>
      </c>
    </row>
    <row r="16" customFormat="false" ht="15" hidden="false" customHeight="true" outlineLevel="0" collapsed="false">
      <c r="A16" s="19" t="s">
        <v>173</v>
      </c>
      <c r="B16" s="11" t="s">
        <v>130</v>
      </c>
      <c r="C16" s="11" t="s">
        <v>174</v>
      </c>
      <c r="D16" s="19" t="s">
        <v>175</v>
      </c>
      <c r="E16" s="19" t="s">
        <v>133</v>
      </c>
      <c r="F16" s="19" t="s">
        <v>134</v>
      </c>
      <c r="G16" s="14" t="n">
        <v>70000</v>
      </c>
      <c r="H16" s="14" t="n">
        <v>250</v>
      </c>
      <c r="I16" s="14" t="n">
        <v>6</v>
      </c>
      <c r="J16" s="20" t="n">
        <v>2600000</v>
      </c>
      <c r="K16" s="21" t="n">
        <v>0.49</v>
      </c>
      <c r="L16" s="21" t="n">
        <v>640</v>
      </c>
      <c r="M16" s="21" t="n">
        <v>2400</v>
      </c>
      <c r="N16" s="14" t="n">
        <v>18</v>
      </c>
      <c r="O16" s="15" t="n">
        <v>0.92</v>
      </c>
      <c r="P16" s="22"/>
    </row>
    <row r="17" customFormat="false" ht="15" hidden="false" customHeight="true" outlineLevel="0" collapsed="false">
      <c r="A17" s="19" t="s">
        <v>176</v>
      </c>
      <c r="B17" s="11" t="s">
        <v>130</v>
      </c>
      <c r="C17" s="11" t="s">
        <v>177</v>
      </c>
      <c r="D17" s="19" t="s">
        <v>178</v>
      </c>
      <c r="E17" s="19" t="s">
        <v>133</v>
      </c>
      <c r="F17" s="19" t="s">
        <v>134</v>
      </c>
      <c r="G17" s="14" t="n">
        <v>48000</v>
      </c>
      <c r="H17" s="14" t="n">
        <v>170</v>
      </c>
      <c r="I17" s="14" t="n">
        <v>4</v>
      </c>
      <c r="J17" s="20" t="n">
        <v>1600000</v>
      </c>
      <c r="K17" s="21" t="n">
        <v>0.46</v>
      </c>
      <c r="L17" s="21" t="n">
        <v>590</v>
      </c>
      <c r="M17" s="21" t="n">
        <v>2300</v>
      </c>
      <c r="N17" s="14" t="n">
        <v>16</v>
      </c>
      <c r="O17" s="15" t="n">
        <v>0.93</v>
      </c>
      <c r="P17" s="22"/>
    </row>
    <row r="19" customFormat="false" ht="15" hidden="false" customHeight="true" outlineLevel="0" collapsed="false">
      <c r="A19" s="23" t="s">
        <v>179</v>
      </c>
      <c r="B19" s="24"/>
      <c r="C19" s="24"/>
      <c r="D19" s="24"/>
      <c r="E19" s="24"/>
      <c r="F19" s="24"/>
      <c r="G19" s="25" t="n">
        <f aca="false">SUM(G6:G17)</f>
        <v>1203000</v>
      </c>
      <c r="H19" s="25" t="n">
        <f aca="false">SUM(H6:H17)</f>
        <v>4420</v>
      </c>
      <c r="I19" s="25" t="n">
        <f aca="false">SUM(I6:I17)</f>
        <v>988</v>
      </c>
      <c r="J19" s="26" t="n">
        <f aca="false">SUM(J6:J17)</f>
        <v>45700000</v>
      </c>
      <c r="K19" s="27" t="n">
        <f aca="false">SUMPRODUCT(G6:G17,K6:K17)/G19</f>
        <v>0.450415627597673</v>
      </c>
      <c r="L19" s="24"/>
      <c r="M19" s="24"/>
      <c r="N19" s="24"/>
      <c r="O19" s="28" t="n">
        <f aca="false">AVERAGE(O6:O17)</f>
        <v>0.911666666666667</v>
      </c>
      <c r="P19" s="24"/>
    </row>
    <row r="21" customFormat="false" ht="15.75" hidden="false" customHeight="true" outlineLevel="0" collapsed="false">
      <c r="A21" s="29" t="s">
        <v>180</v>
      </c>
      <c r="B21" s="29"/>
      <c r="C21" s="29"/>
      <c r="D21" s="29"/>
      <c r="E21" s="29"/>
      <c r="F21" s="29"/>
    </row>
    <row r="22" customFormat="false" ht="27.75" hidden="false" customHeight="true" outlineLevel="0" collapsed="false">
      <c r="A22" s="9" t="s">
        <v>113</v>
      </c>
      <c r="B22" s="9" t="s">
        <v>181</v>
      </c>
      <c r="C22" s="9" t="s">
        <v>182</v>
      </c>
      <c r="D22" s="9" t="s">
        <v>183</v>
      </c>
      <c r="E22" s="9" t="s">
        <v>184</v>
      </c>
      <c r="F22" s="9" t="s">
        <v>185</v>
      </c>
      <c r="G22" s="9" t="s">
        <v>186</v>
      </c>
      <c r="H22" s="9" t="s">
        <v>187</v>
      </c>
      <c r="I22" s="9" t="s">
        <v>188</v>
      </c>
    </row>
    <row r="23" customFormat="false" ht="15" hidden="false" customHeight="true" outlineLevel="0" collapsed="false">
      <c r="A23" s="30" t="str">
        <f aca="false">A6</f>
        <v>L01</v>
      </c>
      <c r="B23" s="31" t="n">
        <f aca="false">MAX(G6,H6*02_Premissas!$B$9)</f>
        <v>294000</v>
      </c>
      <c r="C23" s="32" t="n">
        <f aca="false">B23*K6</f>
        <v>82320</v>
      </c>
      <c r="D23" s="32" t="n">
        <f aca="false">I6*L6</f>
        <v>9240</v>
      </c>
      <c r="E23" s="32" t="n">
        <f aca="false">J6*02_Premissas!$B$10</f>
        <v>14700</v>
      </c>
      <c r="F23" s="32" t="n">
        <f aca="false">IF(C23&lt;I6*M6,I6*M6-C23,0)</f>
        <v>0</v>
      </c>
      <c r="G23" s="32" t="n">
        <f aca="false">C23+D23+E23+F23</f>
        <v>106260</v>
      </c>
      <c r="H23" s="32" t="n">
        <f aca="false">G23*02_Premissas!$B$8</f>
        <v>1275120</v>
      </c>
      <c r="I23" s="33" t="n">
        <f aca="false">IF(B23=0,0,G23/B23)</f>
        <v>0.361428571428572</v>
      </c>
    </row>
    <row r="24" customFormat="false" ht="15" hidden="false" customHeight="true" outlineLevel="0" collapsed="false">
      <c r="A24" s="30" t="str">
        <f aca="false">A7</f>
        <v>L02</v>
      </c>
      <c r="B24" s="31" t="n">
        <f aca="false">MAX(G7,H7*02_Premissas!$B$9)</f>
        <v>222000</v>
      </c>
      <c r="C24" s="32" t="n">
        <f aca="false">B24*K7</f>
        <v>68820</v>
      </c>
      <c r="D24" s="32" t="n">
        <f aca="false">I7*L7</f>
        <v>6080</v>
      </c>
      <c r="E24" s="32" t="n">
        <f aca="false">J7*02_Premissas!$B$10</f>
        <v>10800</v>
      </c>
      <c r="F24" s="32" t="n">
        <f aca="false">IF(C24&lt;I7*M7,I7*M7-C24,0)</f>
        <v>0</v>
      </c>
      <c r="G24" s="32" t="n">
        <f aca="false">C24+D24+E24+F24</f>
        <v>85700</v>
      </c>
      <c r="H24" s="32" t="n">
        <f aca="false">G24*02_Premissas!$B$8</f>
        <v>1028400</v>
      </c>
      <c r="I24" s="33" t="n">
        <f aca="false">IF(B24=0,0,G24/B24)</f>
        <v>0.386036036036036</v>
      </c>
    </row>
    <row r="25" customFormat="false" ht="15" hidden="false" customHeight="true" outlineLevel="0" collapsed="false">
      <c r="A25" s="30" t="str">
        <f aca="false">A8</f>
        <v>L03</v>
      </c>
      <c r="B25" s="31" t="n">
        <f aca="false">MAX(G8,H8*02_Premissas!$B$9)</f>
        <v>168000</v>
      </c>
      <c r="C25" s="32" t="n">
        <f aca="false">B25*K8</f>
        <v>45360</v>
      </c>
      <c r="D25" s="32" t="n">
        <f aca="false">I8*L8</f>
        <v>3720</v>
      </c>
      <c r="E25" s="32" t="n">
        <f aca="false">J8*02_Premissas!$B$10</f>
        <v>7650</v>
      </c>
      <c r="F25" s="32" t="n">
        <f aca="false">IF(C25&lt;I8*M8,I8*M8-C25,0)</f>
        <v>0</v>
      </c>
      <c r="G25" s="32" t="n">
        <f aca="false">C25+D25+E25+F25</f>
        <v>56730</v>
      </c>
      <c r="H25" s="32" t="n">
        <f aca="false">G25*02_Premissas!$B$8</f>
        <v>680760</v>
      </c>
      <c r="I25" s="33" t="n">
        <f aca="false">IF(B25=0,0,G25/B25)</f>
        <v>0.337678571428571</v>
      </c>
    </row>
    <row r="26" customFormat="false" ht="15" hidden="false" customHeight="true" outlineLevel="0" collapsed="false">
      <c r="A26" s="30" t="str">
        <f aca="false">A9</f>
        <v>L04</v>
      </c>
      <c r="B26" s="31" t="n">
        <f aca="false">MAX(G9,H9*02_Premissas!$B$9)</f>
        <v>129000</v>
      </c>
      <c r="C26" s="32" t="n">
        <f aca="false">B26*K9</f>
        <v>54180</v>
      </c>
      <c r="D26" s="32" t="n">
        <f aca="false">I9*L9</f>
        <v>7020</v>
      </c>
      <c r="E26" s="32" t="n">
        <f aca="false">J9*02_Premissas!$B$10</f>
        <v>5850</v>
      </c>
      <c r="F26" s="32" t="n">
        <f aca="false">IF(C26&lt;I9*M9,I9*M9-C26,0)</f>
        <v>0</v>
      </c>
      <c r="G26" s="32" t="n">
        <f aca="false">C26+D26+E26+F26</f>
        <v>67050</v>
      </c>
      <c r="H26" s="32" t="n">
        <f aca="false">G26*02_Premissas!$B$8</f>
        <v>804600</v>
      </c>
      <c r="I26" s="33" t="n">
        <f aca="false">IF(B26=0,0,G26/B26)</f>
        <v>0.519767441860465</v>
      </c>
    </row>
    <row r="27" customFormat="false" ht="15" hidden="false" customHeight="true" outlineLevel="0" collapsed="false">
      <c r="A27" s="30" t="str">
        <f aca="false">A10</f>
        <v>L05</v>
      </c>
      <c r="B27" s="31" t="n">
        <f aca="false">MAX(G10,H10*02_Premissas!$B$9)</f>
        <v>96000</v>
      </c>
      <c r="C27" s="32" t="n">
        <f aca="false">B27*K10</f>
        <v>55680</v>
      </c>
      <c r="D27" s="32" t="n">
        <f aca="false">I10*L10</f>
        <v>6440</v>
      </c>
      <c r="E27" s="32" t="n">
        <f aca="false">J10*02_Premissas!$B$10</f>
        <v>4650</v>
      </c>
      <c r="F27" s="32" t="n">
        <f aca="false">IF(C27&lt;I10*M10,I10*M10-C27,0)</f>
        <v>0</v>
      </c>
      <c r="G27" s="32" t="n">
        <f aca="false">C27+D27+E27+F27</f>
        <v>66770</v>
      </c>
      <c r="H27" s="32" t="n">
        <f aca="false">G27*02_Premissas!$B$8</f>
        <v>801240</v>
      </c>
      <c r="I27" s="33" t="n">
        <f aca="false">IF(B27=0,0,G27/B27)</f>
        <v>0.695520833333333</v>
      </c>
    </row>
    <row r="28" customFormat="false" ht="15" hidden="false" customHeight="true" outlineLevel="0" collapsed="false">
      <c r="A28" s="30" t="str">
        <f aca="false">A11</f>
        <v>L06</v>
      </c>
      <c r="B28" s="31" t="n">
        <f aca="false">MAX(G11,H11*02_Premissas!$B$9)</f>
        <v>60000</v>
      </c>
      <c r="C28" s="32" t="n">
        <f aca="false">B28*K11</f>
        <v>47400</v>
      </c>
      <c r="D28" s="32" t="n">
        <f aca="false">I11*L11</f>
        <v>5800</v>
      </c>
      <c r="E28" s="32" t="n">
        <f aca="false">J11*02_Premissas!$B$10</f>
        <v>3150</v>
      </c>
      <c r="F28" s="32" t="n">
        <f aca="false">IF(C28&lt;I11*M11,I11*M11-C28,0)</f>
        <v>0</v>
      </c>
      <c r="G28" s="32" t="n">
        <f aca="false">C28+D28+E28+F28</f>
        <v>56350</v>
      </c>
      <c r="H28" s="32" t="n">
        <f aca="false">G28*02_Premissas!$B$8</f>
        <v>676200</v>
      </c>
      <c r="I28" s="33" t="n">
        <f aca="false">IF(B28=0,0,G28/B28)</f>
        <v>0.939166666666667</v>
      </c>
    </row>
    <row r="29" customFormat="false" ht="15" hidden="false" customHeight="true" outlineLevel="0" collapsed="false">
      <c r="A29" s="30" t="str">
        <f aca="false">A12</f>
        <v>L07</v>
      </c>
      <c r="B29" s="31" t="n">
        <f aca="false">MAX(G12,H12*02_Premissas!$B$9)</f>
        <v>54000</v>
      </c>
      <c r="C29" s="32" t="n">
        <f aca="false">B29*K12</f>
        <v>24300</v>
      </c>
      <c r="D29" s="32" t="n">
        <f aca="false">I12*L12</f>
        <v>4080</v>
      </c>
      <c r="E29" s="32" t="n">
        <f aca="false">J12*02_Premissas!$B$10</f>
        <v>2700</v>
      </c>
      <c r="F29" s="32" t="n">
        <f aca="false">IF(C29&lt;I12*M12,I12*M12-C29,0)</f>
        <v>0</v>
      </c>
      <c r="G29" s="32" t="n">
        <f aca="false">C29+D29+E29+F29</f>
        <v>31080</v>
      </c>
      <c r="H29" s="32" t="n">
        <f aca="false">G29*02_Premissas!$B$8</f>
        <v>372960</v>
      </c>
      <c r="I29" s="33" t="n">
        <f aca="false">IF(B29=0,0,G29/B29)</f>
        <v>0.575555555555556</v>
      </c>
    </row>
    <row r="30" customFormat="false" ht="15" hidden="false" customHeight="true" outlineLevel="0" collapsed="false">
      <c r="A30" s="30" t="str">
        <f aca="false">A13</f>
        <v>L08</v>
      </c>
      <c r="B30" s="31" t="n">
        <f aca="false">MAX(G13,H13*02_Premissas!$B$9)</f>
        <v>78000</v>
      </c>
      <c r="C30" s="32" t="n">
        <f aca="false">B30*K13</f>
        <v>31980</v>
      </c>
      <c r="D30" s="32" t="n">
        <f aca="false">I13*L13</f>
        <v>5700</v>
      </c>
      <c r="E30" s="32" t="n">
        <f aca="false">J13*02_Premissas!$B$10</f>
        <v>3600</v>
      </c>
      <c r="F30" s="32" t="n">
        <f aca="false">IF(C30&lt;I13*M13,I13*M13-C30,0)</f>
        <v>0</v>
      </c>
      <c r="G30" s="32" t="n">
        <f aca="false">C30+D30+E30+F30</f>
        <v>41280</v>
      </c>
      <c r="H30" s="32" t="n">
        <f aca="false">G30*02_Premissas!$B$8</f>
        <v>495360</v>
      </c>
      <c r="I30" s="33" t="n">
        <f aca="false">IF(B30=0,0,G30/B30)</f>
        <v>0.529230769230769</v>
      </c>
    </row>
    <row r="31" customFormat="false" ht="15" hidden="false" customHeight="true" outlineLevel="0" collapsed="false">
      <c r="A31" s="30" t="str">
        <f aca="false">A14</f>
        <v>L09</v>
      </c>
      <c r="B31" s="31" t="n">
        <f aca="false">MAX(G14,H14*02_Premissas!$B$9)</f>
        <v>63000</v>
      </c>
      <c r="C31" s="32" t="n">
        <f aca="false">B31*K14</f>
        <v>116550</v>
      </c>
      <c r="D31" s="32" t="n">
        <f aca="false">I14*L14</f>
        <v>0</v>
      </c>
      <c r="E31" s="32" t="n">
        <f aca="false">J14*02_Premissas!$B$10</f>
        <v>6300</v>
      </c>
      <c r="F31" s="32" t="n">
        <f aca="false">IF(C31&lt;I14*M14,I14*M14-C31,0)</f>
        <v>0</v>
      </c>
      <c r="G31" s="32" t="n">
        <f aca="false">C31+D31+E31+F31</f>
        <v>122850</v>
      </c>
      <c r="H31" s="32" t="n">
        <f aca="false">G31*02_Premissas!$B$8</f>
        <v>1474200</v>
      </c>
      <c r="I31" s="33" t="n">
        <f aca="false">IF(B31=0,0,G31/B31)</f>
        <v>1.95</v>
      </c>
    </row>
    <row r="32" customFormat="false" ht="15" hidden="false" customHeight="true" outlineLevel="0" collapsed="false">
      <c r="A32" s="30" t="str">
        <f aca="false">A15</f>
        <v>L10</v>
      </c>
      <c r="B32" s="31" t="n">
        <f aca="false">MAX(G15,H15*02_Premissas!$B$9)</f>
        <v>36000</v>
      </c>
      <c r="C32" s="32" t="n">
        <f aca="false">B32*K15</f>
        <v>58320</v>
      </c>
      <c r="D32" s="32" t="n">
        <f aca="false">I15*L15</f>
        <v>0</v>
      </c>
      <c r="E32" s="32" t="n">
        <f aca="false">J15*02_Premissas!$B$10</f>
        <v>2850</v>
      </c>
      <c r="F32" s="32" t="n">
        <f aca="false">IF(C32&lt;I15*M15,I15*M15-C32,0)</f>
        <v>0</v>
      </c>
      <c r="G32" s="32" t="n">
        <f aca="false">C32+D32+E32+F32</f>
        <v>61170</v>
      </c>
      <c r="H32" s="32" t="n">
        <f aca="false">G32*02_Premissas!$B$8</f>
        <v>734040</v>
      </c>
      <c r="I32" s="33" t="n">
        <f aca="false">IF(B32=0,0,G32/B32)</f>
        <v>1.69916666666667</v>
      </c>
    </row>
    <row r="33" customFormat="false" ht="15" hidden="false" customHeight="true" outlineLevel="0" collapsed="false">
      <c r="A33" s="30" t="str">
        <f aca="false">A16</f>
        <v>L11</v>
      </c>
      <c r="B33" s="31" t="n">
        <f aca="false">MAX(G16,H16*02_Premissas!$B$9)</f>
        <v>75000</v>
      </c>
      <c r="C33" s="32" t="n">
        <f aca="false">B33*K16</f>
        <v>36750</v>
      </c>
      <c r="D33" s="32" t="n">
        <f aca="false">I16*L16</f>
        <v>3840</v>
      </c>
      <c r="E33" s="32" t="n">
        <f aca="false">J16*02_Premissas!$B$10</f>
        <v>3900</v>
      </c>
      <c r="F33" s="32" t="n">
        <f aca="false">IF(C33&lt;I16*M16,I16*M16-C33,0)</f>
        <v>0</v>
      </c>
      <c r="G33" s="32" t="n">
        <f aca="false">C33+D33+E33+F33</f>
        <v>44490</v>
      </c>
      <c r="H33" s="32" t="n">
        <f aca="false">G33*02_Premissas!$B$8</f>
        <v>533880</v>
      </c>
      <c r="I33" s="33" t="n">
        <f aca="false">IF(B33=0,0,G33/B33)</f>
        <v>0.5932</v>
      </c>
    </row>
    <row r="34" customFormat="false" ht="15" hidden="false" customHeight="true" outlineLevel="0" collapsed="false">
      <c r="A34" s="30" t="str">
        <f aca="false">A17</f>
        <v>L12</v>
      </c>
      <c r="B34" s="31" t="n">
        <f aca="false">MAX(G17,H17*02_Premissas!$B$9)</f>
        <v>51000</v>
      </c>
      <c r="C34" s="32" t="n">
        <f aca="false">B34*K17</f>
        <v>23460</v>
      </c>
      <c r="D34" s="32" t="n">
        <f aca="false">I17*L17</f>
        <v>2360</v>
      </c>
      <c r="E34" s="32" t="n">
        <f aca="false">J17*02_Premissas!$B$10</f>
        <v>2400</v>
      </c>
      <c r="F34" s="32" t="n">
        <f aca="false">IF(C34&lt;I17*M17,I17*M17-C34,0)</f>
        <v>0</v>
      </c>
      <c r="G34" s="32" t="n">
        <f aca="false">C34+D34+E34+F34</f>
        <v>28220</v>
      </c>
      <c r="H34" s="32" t="n">
        <f aca="false">G34*02_Premissas!$B$8</f>
        <v>338640</v>
      </c>
      <c r="I34" s="33" t="n">
        <f aca="false">IF(B34=0,0,G34/B34)</f>
        <v>0.553333333333333</v>
      </c>
    </row>
    <row r="35" customFormat="false" ht="15" hidden="false" customHeight="true" outlineLevel="0" collapsed="false">
      <c r="A35" s="34" t="s">
        <v>189</v>
      </c>
      <c r="B35" s="35" t="n">
        <f aca="false">SUM(B23:B34)</f>
        <v>1326000</v>
      </c>
      <c r="C35" s="36" t="n">
        <f aca="false">SUM(C23:C34)</f>
        <v>645120</v>
      </c>
      <c r="D35" s="36" t="n">
        <f aca="false">SUM(D23:D34)</f>
        <v>54280</v>
      </c>
      <c r="E35" s="36" t="n">
        <f aca="false">SUM(E23:E34)</f>
        <v>68550</v>
      </c>
      <c r="F35" s="36" t="n">
        <f aca="false">SUM(F23:F34)</f>
        <v>0</v>
      </c>
      <c r="G35" s="36" t="n">
        <f aca="false">SUM(G23:G34)</f>
        <v>767950</v>
      </c>
      <c r="H35" s="36" t="n">
        <f aca="false">SUM(H23:H34)</f>
        <v>9215400</v>
      </c>
      <c r="I35" s="37" t="n">
        <f aca="false">IF(B35=0,0,G35/B35)</f>
        <v>0.579147812971342</v>
      </c>
    </row>
  </sheetData>
  <mergeCells count="3">
    <mergeCell ref="A1:P1"/>
    <mergeCell ref="A2:P2"/>
    <mergeCell ref="A21:F21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20"/>
    <col collapsed="false" customWidth="true" hidden="false" outlineLevel="0" max="3" min="3" style="1" width="24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18"/>
    <col collapsed="false" customWidth="true" hidden="false" outlineLevel="0" max="7" min="7" style="1" width="28"/>
    <col collapsed="false" customWidth="true" hidden="false" outlineLevel="0" max="8" min="8" style="1" width="20"/>
  </cols>
  <sheetData>
    <row r="1" customFormat="false" ht="27.75" hidden="false" customHeight="true" outlineLevel="0" collapsed="false">
      <c r="A1" s="2" t="s">
        <v>190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>
      <c r="A2" s="3" t="s">
        <v>191</v>
      </c>
      <c r="B2" s="3"/>
      <c r="C2" s="3"/>
      <c r="D2" s="3"/>
      <c r="E2" s="3"/>
      <c r="F2" s="3"/>
      <c r="G2" s="3"/>
      <c r="H2" s="3"/>
    </row>
    <row r="5" customFormat="false" ht="15" hidden="false" customHeight="true" outlineLevel="0" collapsed="false">
      <c r="A5" s="9" t="s">
        <v>192</v>
      </c>
      <c r="B5" s="9" t="s">
        <v>193</v>
      </c>
      <c r="C5" s="9" t="s">
        <v>194</v>
      </c>
      <c r="D5" s="9" t="s">
        <v>195</v>
      </c>
      <c r="E5" s="9" t="s">
        <v>196</v>
      </c>
      <c r="F5" s="9" t="s">
        <v>197</v>
      </c>
      <c r="G5" s="9" t="s">
        <v>198</v>
      </c>
      <c r="H5" s="9" t="s">
        <v>199</v>
      </c>
    </row>
    <row r="6" customFormat="false" ht="15" hidden="false" customHeight="true" outlineLevel="0" collapsed="false">
      <c r="A6" s="19" t="s">
        <v>200</v>
      </c>
      <c r="B6" s="19" t="s">
        <v>201</v>
      </c>
      <c r="C6" s="19" t="s">
        <v>202</v>
      </c>
      <c r="D6" s="19" t="s">
        <v>203</v>
      </c>
      <c r="E6" s="38" t="n">
        <v>0.92</v>
      </c>
      <c r="F6" s="19" t="s">
        <v>204</v>
      </c>
      <c r="G6" s="11" t="s">
        <v>205</v>
      </c>
      <c r="H6" s="19" t="s">
        <v>206</v>
      </c>
    </row>
    <row r="7" customFormat="false" ht="15" hidden="false" customHeight="true" outlineLevel="0" collapsed="false">
      <c r="A7" s="19" t="s">
        <v>207</v>
      </c>
      <c r="B7" s="19" t="s">
        <v>208</v>
      </c>
      <c r="C7" s="19" t="s">
        <v>209</v>
      </c>
      <c r="D7" s="19" t="s">
        <v>210</v>
      </c>
      <c r="E7" s="38" t="n">
        <v>0.94</v>
      </c>
      <c r="F7" s="19" t="s">
        <v>204</v>
      </c>
      <c r="G7" s="11" t="s">
        <v>211</v>
      </c>
      <c r="H7" s="19" t="s">
        <v>206</v>
      </c>
    </row>
    <row r="8" customFormat="false" ht="15" hidden="false" customHeight="true" outlineLevel="0" collapsed="false">
      <c r="A8" s="19" t="s">
        <v>212</v>
      </c>
      <c r="B8" s="19" t="s">
        <v>213</v>
      </c>
      <c r="C8" s="19" t="s">
        <v>214</v>
      </c>
      <c r="D8" s="19" t="s">
        <v>215</v>
      </c>
      <c r="E8" s="38" t="n">
        <v>0.88</v>
      </c>
      <c r="F8" s="19" t="s">
        <v>204</v>
      </c>
      <c r="G8" s="11" t="s">
        <v>216</v>
      </c>
      <c r="H8" s="19" t="s">
        <v>206</v>
      </c>
    </row>
    <row r="9" customFormat="false" ht="15" hidden="false" customHeight="true" outlineLevel="0" collapsed="false">
      <c r="A9" s="19" t="s">
        <v>217</v>
      </c>
      <c r="B9" s="19" t="s">
        <v>218</v>
      </c>
      <c r="C9" s="19" t="s">
        <v>219</v>
      </c>
      <c r="D9" s="19" t="s">
        <v>220</v>
      </c>
      <c r="E9" s="38" t="n">
        <v>0.91</v>
      </c>
      <c r="F9" s="19" t="s">
        <v>204</v>
      </c>
      <c r="G9" s="11" t="s">
        <v>221</v>
      </c>
      <c r="H9" s="19" t="s">
        <v>206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18"/>
    <col collapsed="false" customWidth="true" hidden="false" outlineLevel="0" max="4" min="4" style="1" width="12"/>
    <col collapsed="false" customWidth="true" hidden="false" outlineLevel="0" max="5" min="5" style="1" width="14"/>
    <col collapsed="false" customWidth="true" hidden="false" outlineLevel="0" max="7" min="6" style="1" width="18"/>
    <col collapsed="false" customWidth="true" hidden="false" outlineLevel="0" max="8" min="8" style="1" width="12"/>
    <col collapsed="false" customWidth="true" hidden="false" outlineLevel="0" max="10" min="9" style="1" width="14"/>
    <col collapsed="false" customWidth="true" hidden="false" outlineLevel="0" max="11" min="11" style="1" width="16"/>
    <col collapsed="false" customWidth="true" hidden="false" outlineLevel="0" max="12" min="12" style="1" width="24"/>
    <col collapsed="false" customWidth="true" hidden="false" outlineLevel="0" max="13" min="13" style="1" width="16"/>
    <col collapsed="false" customWidth="true" hidden="false" outlineLevel="0" max="14" min="14" style="1" width="22"/>
  </cols>
  <sheetData>
    <row r="1" customFormat="false" ht="27.75" hidden="false" customHeight="true" outlineLevel="0" collapsed="false">
      <c r="A1" s="2" t="s">
        <v>222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8" hidden="false" customHeight="true" outlineLevel="0" collapsed="false">
      <c r="A2" s="3" t="s">
        <v>223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5" customFormat="false" ht="27.75" hidden="false" customHeight="true" outlineLevel="0" collapsed="false">
      <c r="A5" s="9" t="s">
        <v>113</v>
      </c>
      <c r="B5" s="9" t="s">
        <v>192</v>
      </c>
      <c r="C5" s="9" t="s">
        <v>193</v>
      </c>
      <c r="D5" s="9" t="s">
        <v>224</v>
      </c>
      <c r="E5" s="9" t="s">
        <v>225</v>
      </c>
      <c r="F5" s="9" t="s">
        <v>124</v>
      </c>
      <c r="G5" s="9" t="s">
        <v>125</v>
      </c>
      <c r="H5" s="9" t="s">
        <v>226</v>
      </c>
      <c r="I5" s="9" t="s">
        <v>227</v>
      </c>
      <c r="J5" s="9" t="s">
        <v>228</v>
      </c>
      <c r="K5" s="9" t="s">
        <v>229</v>
      </c>
      <c r="L5" s="9" t="s">
        <v>230</v>
      </c>
      <c r="M5" s="9" t="s">
        <v>231</v>
      </c>
      <c r="N5" s="9" t="s">
        <v>232</v>
      </c>
    </row>
    <row r="6" customFormat="false" ht="15" hidden="false" customHeight="true" outlineLevel="0" collapsed="false">
      <c r="A6" s="19" t="s">
        <v>129</v>
      </c>
      <c r="B6" s="19" t="s">
        <v>200</v>
      </c>
      <c r="C6" s="19" t="s">
        <v>201</v>
      </c>
      <c r="D6" s="12" t="s">
        <v>204</v>
      </c>
      <c r="E6" s="21" t="n">
        <v>0.255</v>
      </c>
      <c r="F6" s="21" t="n">
        <v>400</v>
      </c>
      <c r="G6" s="21" t="n">
        <v>1700</v>
      </c>
      <c r="H6" s="14" t="n">
        <v>12</v>
      </c>
      <c r="I6" s="15" t="n">
        <v>0.93</v>
      </c>
      <c r="J6" s="15" t="n">
        <v>0.0015</v>
      </c>
      <c r="K6" s="12" t="s">
        <v>233</v>
      </c>
      <c r="L6" s="39"/>
      <c r="M6" s="39" t="str">
        <f aca="false">IF(D6="Não","FORA_MALHA",IF(OR(E6&lt;=0,H6&lt;=0,I6&lt;0.7,I6&gt;1),"ERRO","OK"))</f>
        <v>OK</v>
      </c>
      <c r="N6" s="39" t="str">
        <f aca="false">IF(M6="OK","",IF(M6="FORA_MALHA","Não atende a lane",IF(E6&lt;=0,"Preço inválido",IF(H6&lt;=0,"Prazo inválido",IF(I6&lt;0.7,"OTIF implausível","Revisar")))))</f>
        <v/>
      </c>
    </row>
    <row r="7" customFormat="false" ht="15" hidden="false" customHeight="true" outlineLevel="0" collapsed="false">
      <c r="A7" s="19" t="s">
        <v>136</v>
      </c>
      <c r="B7" s="19" t="s">
        <v>200</v>
      </c>
      <c r="C7" s="19" t="s">
        <v>201</v>
      </c>
      <c r="D7" s="12" t="s">
        <v>204</v>
      </c>
      <c r="E7" s="21" t="n">
        <v>0.29</v>
      </c>
      <c r="F7" s="21" t="n">
        <v>360</v>
      </c>
      <c r="G7" s="21" t="n">
        <v>1650</v>
      </c>
      <c r="H7" s="14" t="n">
        <v>10</v>
      </c>
      <c r="I7" s="15" t="n">
        <v>0.92</v>
      </c>
      <c r="J7" s="15" t="n">
        <v>0.0015</v>
      </c>
      <c r="K7" s="12" t="s">
        <v>233</v>
      </c>
      <c r="L7" s="39"/>
      <c r="M7" s="39" t="str">
        <f aca="false">IF(D7="Não","FORA_MALHA",IF(OR(E7&lt;=0,H7&lt;=0,I7&lt;0.7,I7&gt;1),"ERRO","OK"))</f>
        <v>OK</v>
      </c>
      <c r="N7" s="39" t="str">
        <f aca="false">IF(M7="OK","",IF(M7="FORA_MALHA","Não atende a lane",IF(E7&lt;=0,"Preço inválido",IF(H7&lt;=0,"Prazo inválido",IF(I7&lt;0.7,"OTIF implausível","Revisar")))))</f>
        <v/>
      </c>
    </row>
    <row r="8" customFormat="false" ht="15" hidden="false" customHeight="true" outlineLevel="0" collapsed="false">
      <c r="A8" s="19" t="s">
        <v>139</v>
      </c>
      <c r="B8" s="19" t="s">
        <v>200</v>
      </c>
      <c r="C8" s="19" t="s">
        <v>201</v>
      </c>
      <c r="D8" s="12" t="s">
        <v>204</v>
      </c>
      <c r="E8" s="21" t="n">
        <v>0.26</v>
      </c>
      <c r="F8" s="21" t="n">
        <v>300</v>
      </c>
      <c r="G8" s="21" t="n">
        <v>1550</v>
      </c>
      <c r="H8" s="14" t="n">
        <v>9</v>
      </c>
      <c r="I8" s="15" t="n">
        <v>0.93</v>
      </c>
      <c r="J8" s="15" t="n">
        <v>0.0015</v>
      </c>
      <c r="K8" s="12" t="s">
        <v>233</v>
      </c>
      <c r="L8" s="39"/>
      <c r="M8" s="39" t="str">
        <f aca="false">IF(D8="Não","FORA_MALHA",IF(OR(E8&lt;=0,H8&lt;=0,I8&lt;0.7,I8&gt;1),"ERRO","OK"))</f>
        <v>OK</v>
      </c>
      <c r="N8" s="39" t="str">
        <f aca="false">IF(M8="OK","",IF(M8="FORA_MALHA","Não atende a lane",IF(E8&lt;=0,"Preço inválido",IF(H8&lt;=0,"Prazo inválido",IF(I8&lt;0.7,"OTIF implausível","Revisar")))))</f>
        <v/>
      </c>
    </row>
    <row r="9" customFormat="false" ht="15" hidden="false" customHeight="true" outlineLevel="0" collapsed="false">
      <c r="A9" s="19" t="s">
        <v>142</v>
      </c>
      <c r="B9" s="19" t="s">
        <v>200</v>
      </c>
      <c r="C9" s="19" t="s">
        <v>201</v>
      </c>
      <c r="D9" s="12" t="s">
        <v>204</v>
      </c>
      <c r="E9" s="21" t="n">
        <v>0.4</v>
      </c>
      <c r="F9" s="21" t="n">
        <v>750</v>
      </c>
      <c r="G9" s="21" t="n">
        <v>2100</v>
      </c>
      <c r="H9" s="14" t="n">
        <v>22</v>
      </c>
      <c r="I9" s="15" t="n">
        <v>0.9</v>
      </c>
      <c r="J9" s="15" t="n">
        <v>0.0015</v>
      </c>
      <c r="K9" s="12" t="s">
        <v>233</v>
      </c>
      <c r="L9" s="39"/>
      <c r="M9" s="39" t="str">
        <f aca="false">IF(D9="Não","FORA_MALHA",IF(OR(E9&lt;=0,H9&lt;=0,I9&lt;0.7,I9&gt;1),"ERRO","OK"))</f>
        <v>OK</v>
      </c>
      <c r="N9" s="39" t="str">
        <f aca="false">IF(M9="OK","",IF(M9="FORA_MALHA","Não atende a lane",IF(E9&lt;=0,"Preço inválido",IF(H9&lt;=0,"Prazo inválido",IF(I9&lt;0.7,"OTIF implausível","Revisar")))))</f>
        <v/>
      </c>
    </row>
    <row r="10" customFormat="false" ht="15" hidden="false" customHeight="true" outlineLevel="0" collapsed="false">
      <c r="A10" s="19" t="s">
        <v>146</v>
      </c>
      <c r="B10" s="19" t="s">
        <v>200</v>
      </c>
      <c r="C10" s="19" t="s">
        <v>201</v>
      </c>
      <c r="D10" s="12" t="s">
        <v>204</v>
      </c>
      <c r="E10" s="21" t="n">
        <v>0.54</v>
      </c>
      <c r="F10" s="21" t="n">
        <v>900</v>
      </c>
      <c r="G10" s="21" t="n">
        <v>2700</v>
      </c>
      <c r="H10" s="14" t="n">
        <v>38</v>
      </c>
      <c r="I10" s="15" t="n">
        <v>0.87</v>
      </c>
      <c r="J10" s="15" t="n">
        <v>0.0015</v>
      </c>
      <c r="K10" s="12" t="s">
        <v>233</v>
      </c>
      <c r="L10" s="39"/>
      <c r="M10" s="39" t="str">
        <f aca="false">IF(D10="Não","FORA_MALHA",IF(OR(E10&lt;=0,H10&lt;=0,I10&lt;0.7,I10&gt;1),"ERRO","OK"))</f>
        <v>OK</v>
      </c>
      <c r="N10" s="39" t="str">
        <f aca="false">IF(M10="OK","",IF(M10="FORA_MALHA","Não atende a lane",IF(E10&lt;=0,"Preço inválido",IF(H10&lt;=0,"Prazo inválido",IF(I10&lt;0.7,"OTIF implausível","Revisar")))))</f>
        <v/>
      </c>
    </row>
    <row r="11" customFormat="false" ht="15" hidden="false" customHeight="true" outlineLevel="0" collapsed="false">
      <c r="A11" s="19" t="s">
        <v>150</v>
      </c>
      <c r="B11" s="19" t="s">
        <v>200</v>
      </c>
      <c r="C11" s="19" t="s">
        <v>201</v>
      </c>
      <c r="D11" s="12" t="s">
        <v>204</v>
      </c>
      <c r="E11" s="21" t="n">
        <v>0.72</v>
      </c>
      <c r="F11" s="21" t="n">
        <v>1400</v>
      </c>
      <c r="G11" s="21" t="n">
        <v>3300</v>
      </c>
      <c r="H11" s="14" t="n">
        <v>62</v>
      </c>
      <c r="I11" s="15" t="n">
        <v>0.84</v>
      </c>
      <c r="J11" s="15" t="n">
        <v>0.0015</v>
      </c>
      <c r="K11" s="12" t="s">
        <v>233</v>
      </c>
      <c r="L11" s="39"/>
      <c r="M11" s="39" t="str">
        <f aca="false">IF(D11="Não","FORA_MALHA",IF(OR(E11&lt;=0,H11&lt;=0,I11&lt;0.7,I11&gt;1),"ERRO","OK"))</f>
        <v>OK</v>
      </c>
      <c r="N11" s="39" t="str">
        <f aca="false">IF(M11="OK","",IF(M11="FORA_MALHA","Não atende a lane",IF(E11&lt;=0,"Preço inválido",IF(H11&lt;=0,"Prazo inválido",IF(I11&lt;0.7,"OTIF implausível","Revisar")))))</f>
        <v/>
      </c>
    </row>
    <row r="12" customFormat="false" ht="15" hidden="false" customHeight="true" outlineLevel="0" collapsed="false">
      <c r="A12" s="19" t="s">
        <v>154</v>
      </c>
      <c r="B12" s="19" t="s">
        <v>200</v>
      </c>
      <c r="C12" s="19" t="s">
        <v>201</v>
      </c>
      <c r="D12" s="12" t="s">
        <v>204</v>
      </c>
      <c r="E12" s="21" t="n">
        <v>0.43</v>
      </c>
      <c r="F12" s="21" t="n">
        <v>80</v>
      </c>
      <c r="G12" s="21" t="n">
        <v>210</v>
      </c>
      <c r="H12" s="14" t="n">
        <v>8</v>
      </c>
      <c r="I12" s="15" t="n">
        <v>0.91</v>
      </c>
      <c r="J12" s="15" t="n">
        <v>0.0015</v>
      </c>
      <c r="K12" s="12" t="s">
        <v>233</v>
      </c>
      <c r="L12" s="39"/>
      <c r="M12" s="39" t="str">
        <f aca="false">IF(D12="Não","FORA_MALHA",IF(OR(E12&lt;=0,H12&lt;=0,I12&lt;0.7,I12&gt;1),"ERRO","OK"))</f>
        <v>OK</v>
      </c>
      <c r="N12" s="39" t="str">
        <f aca="false">IF(M12="OK","",IF(M12="FORA_MALHA","Não atende a lane",IF(E12&lt;=0,"Preço inválido",IF(H12&lt;=0,"Prazo inválido",IF(I12&lt;0.7,"OTIF implausível","Revisar")))))</f>
        <v/>
      </c>
    </row>
    <row r="13" customFormat="false" ht="15" hidden="false" customHeight="true" outlineLevel="0" collapsed="false">
      <c r="A13" s="19" t="s">
        <v>160</v>
      </c>
      <c r="B13" s="19" t="s">
        <v>200</v>
      </c>
      <c r="C13" s="19" t="s">
        <v>201</v>
      </c>
      <c r="D13" s="12" t="s">
        <v>204</v>
      </c>
      <c r="E13" s="21" t="n">
        <v>0.395</v>
      </c>
      <c r="F13" s="21" t="n">
        <v>90</v>
      </c>
      <c r="G13" s="21" t="n">
        <v>240</v>
      </c>
      <c r="H13" s="14" t="n">
        <v>16</v>
      </c>
      <c r="I13" s="15" t="n">
        <v>0.9</v>
      </c>
      <c r="J13" s="15" t="n">
        <v>0.0015</v>
      </c>
      <c r="K13" s="12" t="s">
        <v>233</v>
      </c>
      <c r="L13" s="39"/>
      <c r="M13" s="39" t="str">
        <f aca="false">IF(D13="Não","FORA_MALHA",IF(OR(E13&lt;=0,H13&lt;=0,I13&lt;0.7,I13&gt;1),"ERRO","OK"))</f>
        <v>OK</v>
      </c>
      <c r="N13" s="39" t="str">
        <f aca="false">IF(M13="OK","",IF(M13="FORA_MALHA","Não atende a lane",IF(E13&lt;=0,"Preço inválido",IF(H13&lt;=0,"Prazo inválido",IF(I13&lt;0.7,"OTIF implausível","Revisar")))))</f>
        <v/>
      </c>
    </row>
    <row r="14" customFormat="false" ht="15" hidden="false" customHeight="true" outlineLevel="0" collapsed="false">
      <c r="A14" s="19" t="s">
        <v>164</v>
      </c>
      <c r="B14" s="19" t="s">
        <v>200</v>
      </c>
      <c r="C14" s="19" t="s">
        <v>201</v>
      </c>
      <c r="D14" s="12" t="s">
        <v>204</v>
      </c>
      <c r="E14" s="21" t="n">
        <v>2.1</v>
      </c>
      <c r="F14" s="21" t="n">
        <v>0</v>
      </c>
      <c r="G14" s="21" t="n">
        <v>22</v>
      </c>
      <c r="H14" s="14" t="n">
        <v>28</v>
      </c>
      <c r="I14" s="15" t="n">
        <v>0.82</v>
      </c>
      <c r="J14" s="15" t="n">
        <v>0.0015</v>
      </c>
      <c r="K14" s="12" t="s">
        <v>233</v>
      </c>
      <c r="L14" s="39"/>
      <c r="M14" s="39" t="str">
        <f aca="false">IF(D14="Não","FORA_MALHA",IF(OR(E14&lt;=0,H14&lt;=0,I14&lt;0.7,I14&gt;1),"ERRO","OK"))</f>
        <v>OK</v>
      </c>
      <c r="N14" s="39" t="str">
        <f aca="false">IF(M14="OK","",IF(M14="FORA_MALHA","Não atende a lane",IF(E14&lt;=0,"Preço inválido",IF(H14&lt;=0,"Prazo inválido",IF(I14&lt;0.7,"OTIF implausível","Revisar")))))</f>
        <v/>
      </c>
    </row>
    <row r="15" customFormat="false" ht="15" hidden="false" customHeight="true" outlineLevel="0" collapsed="false">
      <c r="A15" s="19" t="s">
        <v>169</v>
      </c>
      <c r="B15" s="19" t="s">
        <v>200</v>
      </c>
      <c r="C15" s="19" t="s">
        <v>201</v>
      </c>
      <c r="D15" s="12" t="s">
        <v>204</v>
      </c>
      <c r="E15" s="21" t="n">
        <v>1.9</v>
      </c>
      <c r="F15" s="21" t="n">
        <v>0</v>
      </c>
      <c r="G15" s="21" t="n">
        <v>20</v>
      </c>
      <c r="H15" s="14" t="n">
        <v>28</v>
      </c>
      <c r="I15" s="15" t="n">
        <v>0.83</v>
      </c>
      <c r="J15" s="15" t="n">
        <v>0.0015</v>
      </c>
      <c r="K15" s="12" t="s">
        <v>233</v>
      </c>
      <c r="L15" s="39"/>
      <c r="M15" s="39" t="str">
        <f aca="false">IF(D15="Não","FORA_MALHA",IF(OR(E15&lt;=0,H15&lt;=0,I15&lt;0.7,I15&gt;1),"ERRO","OK"))</f>
        <v>OK</v>
      </c>
      <c r="N15" s="39" t="str">
        <f aca="false">IF(M15="OK","",IF(M15="FORA_MALHA","Não atende a lane",IF(E15&lt;=0,"Preço inválido",IF(H15&lt;=0,"Prazo inválido",IF(I15&lt;0.7,"OTIF implausível","Revisar")))))</f>
        <v/>
      </c>
    </row>
    <row r="16" customFormat="false" ht="15" hidden="false" customHeight="true" outlineLevel="0" collapsed="false">
      <c r="A16" s="19" t="s">
        <v>173</v>
      </c>
      <c r="B16" s="19" t="s">
        <v>200</v>
      </c>
      <c r="C16" s="19" t="s">
        <v>201</v>
      </c>
      <c r="D16" s="12" t="s">
        <v>204</v>
      </c>
      <c r="E16" s="21" t="n">
        <v>0.455</v>
      </c>
      <c r="F16" s="21" t="n">
        <v>620</v>
      </c>
      <c r="G16" s="21" t="n">
        <v>2300</v>
      </c>
      <c r="H16" s="14" t="n">
        <v>18</v>
      </c>
      <c r="I16" s="15" t="n">
        <v>0.91</v>
      </c>
      <c r="J16" s="15" t="n">
        <v>0.0015</v>
      </c>
      <c r="K16" s="12" t="s">
        <v>233</v>
      </c>
      <c r="L16" s="39"/>
      <c r="M16" s="39" t="str">
        <f aca="false">IF(D16="Não","FORA_MALHA",IF(OR(E16&lt;=0,H16&lt;=0,I16&lt;0.7,I16&gt;1),"ERRO","OK"))</f>
        <v>OK</v>
      </c>
      <c r="N16" s="39" t="str">
        <f aca="false">IF(M16="OK","",IF(M16="FORA_MALHA","Não atende a lane",IF(E16&lt;=0,"Preço inválido",IF(H16&lt;=0,"Prazo inválido",IF(I16&lt;0.7,"OTIF implausível","Revisar")))))</f>
        <v/>
      </c>
    </row>
    <row r="17" customFormat="false" ht="15" hidden="false" customHeight="true" outlineLevel="0" collapsed="false">
      <c r="A17" s="19" t="s">
        <v>176</v>
      </c>
      <c r="B17" s="19" t="s">
        <v>200</v>
      </c>
      <c r="C17" s="19" t="s">
        <v>201</v>
      </c>
      <c r="D17" s="12" t="s">
        <v>204</v>
      </c>
      <c r="E17" s="21" t="n">
        <v>0.43</v>
      </c>
      <c r="F17" s="21" t="n">
        <v>570</v>
      </c>
      <c r="G17" s="21" t="n">
        <v>2200</v>
      </c>
      <c r="H17" s="14" t="n">
        <v>16</v>
      </c>
      <c r="I17" s="15" t="n">
        <v>0.92</v>
      </c>
      <c r="J17" s="15" t="n">
        <v>0.0015</v>
      </c>
      <c r="K17" s="12" t="s">
        <v>233</v>
      </c>
      <c r="L17" s="39"/>
      <c r="M17" s="39" t="str">
        <f aca="false">IF(D17="Não","FORA_MALHA",IF(OR(E17&lt;=0,H17&lt;=0,I17&lt;0.7,I17&gt;1),"ERRO","OK"))</f>
        <v>OK</v>
      </c>
      <c r="N17" s="39" t="str">
        <f aca="false">IF(M17="OK","",IF(M17="FORA_MALHA","Não atende a lane",IF(E17&lt;=0,"Preço inválido",IF(H17&lt;=0,"Prazo inválido",IF(I17&lt;0.7,"OTIF implausível","Revisar")))))</f>
        <v/>
      </c>
    </row>
    <row r="18" customFormat="false" ht="15" hidden="false" customHeight="true" outlineLevel="0" collapsed="false">
      <c r="A18" s="19" t="s">
        <v>129</v>
      </c>
      <c r="B18" s="19" t="s">
        <v>207</v>
      </c>
      <c r="C18" s="19" t="s">
        <v>208</v>
      </c>
      <c r="D18" s="12" t="s">
        <v>204</v>
      </c>
      <c r="E18" s="21" t="n">
        <v>0.27</v>
      </c>
      <c r="F18" s="21" t="n">
        <v>410</v>
      </c>
      <c r="G18" s="21" t="n">
        <v>1750</v>
      </c>
      <c r="H18" s="14" t="n">
        <v>11</v>
      </c>
      <c r="I18" s="15" t="n">
        <v>0.95</v>
      </c>
      <c r="J18" s="15" t="n">
        <v>0.0015</v>
      </c>
      <c r="K18" s="12" t="s">
        <v>233</v>
      </c>
      <c r="L18" s="39"/>
      <c r="M18" s="39" t="str">
        <f aca="false">IF(D18="Não","FORA_MALHA",IF(OR(E18&lt;=0,H18&lt;=0,I18&lt;0.7,I18&gt;1),"ERRO","OK"))</f>
        <v>OK</v>
      </c>
      <c r="N18" s="39" t="str">
        <f aca="false">IF(M18="OK","",IF(M18="FORA_MALHA","Não atende a lane",IF(E18&lt;=0,"Preço inválido",IF(H18&lt;=0,"Prazo inválido",IF(I18&lt;0.7,"OTIF implausível","Revisar")))))</f>
        <v/>
      </c>
    </row>
    <row r="19" customFormat="false" ht="15" hidden="false" customHeight="true" outlineLevel="0" collapsed="false">
      <c r="A19" s="19" t="s">
        <v>136</v>
      </c>
      <c r="B19" s="19" t="s">
        <v>207</v>
      </c>
      <c r="C19" s="19" t="s">
        <v>208</v>
      </c>
      <c r="D19" s="12" t="s">
        <v>204</v>
      </c>
      <c r="E19" s="21" t="n">
        <v>0.285</v>
      </c>
      <c r="F19" s="21" t="n">
        <v>370</v>
      </c>
      <c r="G19" s="21" t="n">
        <v>1680</v>
      </c>
      <c r="H19" s="14" t="n">
        <v>9</v>
      </c>
      <c r="I19" s="15" t="n">
        <v>0.95</v>
      </c>
      <c r="J19" s="15" t="n">
        <v>0.0015</v>
      </c>
      <c r="K19" s="12" t="s">
        <v>233</v>
      </c>
      <c r="L19" s="39"/>
      <c r="M19" s="39" t="str">
        <f aca="false">IF(D19="Não","FORA_MALHA",IF(OR(E19&lt;=0,H19&lt;=0,I19&lt;0.7,I19&gt;1),"ERRO","OK"))</f>
        <v>OK</v>
      </c>
      <c r="N19" s="39" t="str">
        <f aca="false">IF(M19="OK","",IF(M19="FORA_MALHA","Não atende a lane",IF(E19&lt;=0,"Preço inválido",IF(H19&lt;=0,"Prazo inválido",IF(I19&lt;0.7,"OTIF implausível","Revisar")))))</f>
        <v/>
      </c>
    </row>
    <row r="20" customFormat="false" ht="15" hidden="false" customHeight="true" outlineLevel="0" collapsed="false">
      <c r="A20" s="19" t="s">
        <v>139</v>
      </c>
      <c r="B20" s="19" t="s">
        <v>207</v>
      </c>
      <c r="C20" s="19" t="s">
        <v>208</v>
      </c>
      <c r="D20" s="12" t="s">
        <v>204</v>
      </c>
      <c r="E20" s="21" t="n">
        <v>0.24</v>
      </c>
      <c r="F20" s="21" t="n">
        <v>290</v>
      </c>
      <c r="G20" s="21" t="n">
        <v>1500</v>
      </c>
      <c r="H20" s="14" t="n">
        <v>8</v>
      </c>
      <c r="I20" s="15" t="n">
        <v>0.96</v>
      </c>
      <c r="J20" s="15" t="n">
        <v>0.0015</v>
      </c>
      <c r="K20" s="12" t="s">
        <v>233</v>
      </c>
      <c r="L20" s="39"/>
      <c r="M20" s="39" t="str">
        <f aca="false">IF(D20="Não","FORA_MALHA",IF(OR(E20&lt;=0,H20&lt;=0,I20&lt;0.7,I20&gt;1),"ERRO","OK"))</f>
        <v>OK</v>
      </c>
      <c r="N20" s="39" t="str">
        <f aca="false">IF(M20="OK","",IF(M20="FORA_MALHA","Não atende a lane",IF(E20&lt;=0,"Preço inválido",IF(H20&lt;=0,"Prazo inválido",IF(I20&lt;0.7,"OTIF implausível","Revisar")))))</f>
        <v/>
      </c>
    </row>
    <row r="21" customFormat="false" ht="15" hidden="false" customHeight="true" outlineLevel="0" collapsed="false">
      <c r="A21" s="19" t="s">
        <v>142</v>
      </c>
      <c r="B21" s="19" t="s">
        <v>207</v>
      </c>
      <c r="C21" s="19" t="s">
        <v>208</v>
      </c>
      <c r="D21" s="12" t="s">
        <v>204</v>
      </c>
      <c r="E21" s="21" t="n">
        <v>0.365</v>
      </c>
      <c r="F21" s="21" t="n">
        <v>740</v>
      </c>
      <c r="G21" s="21" t="n">
        <v>2000</v>
      </c>
      <c r="H21" s="14" t="n">
        <v>18</v>
      </c>
      <c r="I21" s="15" t="n">
        <v>0.94</v>
      </c>
      <c r="J21" s="15" t="n">
        <v>0.0015</v>
      </c>
      <c r="K21" s="12" t="s">
        <v>233</v>
      </c>
      <c r="L21" s="39"/>
      <c r="M21" s="39" t="str">
        <f aca="false">IF(D21="Não","FORA_MALHA",IF(OR(E21&lt;=0,H21&lt;=0,I21&lt;0.7,I21&gt;1),"ERRO","OK"))</f>
        <v>OK</v>
      </c>
      <c r="N21" s="39" t="str">
        <f aca="false">IF(M21="OK","",IF(M21="FORA_MALHA","Não atende a lane",IF(E21&lt;=0,"Preço inválido",IF(H21&lt;=0,"Prazo inválido",IF(I21&lt;0.7,"OTIF implausível","Revisar")))))</f>
        <v/>
      </c>
    </row>
    <row r="22" customFormat="false" ht="15" hidden="false" customHeight="true" outlineLevel="0" collapsed="false">
      <c r="A22" s="19" t="s">
        <v>146</v>
      </c>
      <c r="B22" s="19" t="s">
        <v>207</v>
      </c>
      <c r="C22" s="19" t="s">
        <v>208</v>
      </c>
      <c r="D22" s="12" t="s">
        <v>204</v>
      </c>
      <c r="E22" s="21" t="n">
        <v>0.61</v>
      </c>
      <c r="F22" s="21" t="n">
        <v>940</v>
      </c>
      <c r="G22" s="21" t="n">
        <v>2900</v>
      </c>
      <c r="H22" s="14" t="n">
        <v>40</v>
      </c>
      <c r="I22" s="15" t="n">
        <v>0.86</v>
      </c>
      <c r="J22" s="15" t="n">
        <v>0.0015</v>
      </c>
      <c r="K22" s="12" t="s">
        <v>233</v>
      </c>
      <c r="L22" s="39"/>
      <c r="M22" s="39" t="str">
        <f aca="false">IF(D22="Não","FORA_MALHA",IF(OR(E22&lt;=0,H22&lt;=0,I22&lt;0.7,I22&gt;1),"ERRO","OK"))</f>
        <v>OK</v>
      </c>
      <c r="N22" s="39" t="str">
        <f aca="false">IF(M22="OK","",IF(M22="FORA_MALHA","Não atende a lane",IF(E22&lt;=0,"Preço inválido",IF(H22&lt;=0,"Prazo inválido",IF(I22&lt;0.7,"OTIF implausível","Revisar")))))</f>
        <v/>
      </c>
    </row>
    <row r="23" customFormat="false" ht="15" hidden="false" customHeight="true" outlineLevel="0" collapsed="false">
      <c r="A23" s="19" t="s">
        <v>150</v>
      </c>
      <c r="B23" s="19" t="s">
        <v>207</v>
      </c>
      <c r="C23" s="19" t="s">
        <v>208</v>
      </c>
      <c r="D23" s="12" t="s">
        <v>234</v>
      </c>
      <c r="E23" s="40"/>
      <c r="F23" s="40"/>
      <c r="G23" s="40"/>
      <c r="H23" s="40"/>
      <c r="I23" s="40"/>
      <c r="J23" s="40"/>
      <c r="K23" s="40"/>
      <c r="L23" s="39" t="s">
        <v>235</v>
      </c>
      <c r="M23" s="39" t="str">
        <f aca="false">IF(D23="Não","FORA_MALHA",IF(OR(E23&lt;=0,H23&lt;=0,I23&lt;0.7,I23&gt;1),"ERRO","OK"))</f>
        <v>FORA_MALHA</v>
      </c>
      <c r="N23" s="39" t="str">
        <f aca="false">IF(M23="OK","",IF(M23="FORA_MALHA","Não atende a lane",IF(E23&lt;=0,"Preço inválido",IF(H23&lt;=0,"Prazo inválido",IF(I23&lt;0.7,"OTIF implausível","Revisar")))))</f>
        <v>Não atende a lane</v>
      </c>
    </row>
    <row r="24" customFormat="false" ht="15" hidden="false" customHeight="true" outlineLevel="0" collapsed="false">
      <c r="A24" s="19" t="s">
        <v>154</v>
      </c>
      <c r="B24" s="19" t="s">
        <v>207</v>
      </c>
      <c r="C24" s="19" t="s">
        <v>208</v>
      </c>
      <c r="D24" s="12" t="s">
        <v>204</v>
      </c>
      <c r="E24" s="21" t="n">
        <v>0.41</v>
      </c>
      <c r="F24" s="21" t="n">
        <v>80</v>
      </c>
      <c r="G24" s="21" t="n">
        <v>200</v>
      </c>
      <c r="H24" s="14" t="n">
        <v>7</v>
      </c>
      <c r="I24" s="15" t="n">
        <v>0.94</v>
      </c>
      <c r="J24" s="15" t="n">
        <v>0.0015</v>
      </c>
      <c r="K24" s="12" t="s">
        <v>233</v>
      </c>
      <c r="L24" s="39"/>
      <c r="M24" s="39" t="str">
        <f aca="false">IF(D24="Não","FORA_MALHA",IF(OR(E24&lt;=0,H24&lt;=0,I24&lt;0.7,I24&gt;1),"ERRO","OK"))</f>
        <v>OK</v>
      </c>
      <c r="N24" s="39" t="str">
        <f aca="false">IF(M24="OK","",IF(M24="FORA_MALHA","Não atende a lane",IF(E24&lt;=0,"Preço inválido",IF(H24&lt;=0,"Prazo inválido",IF(I24&lt;0.7,"OTIF implausível","Revisar")))))</f>
        <v/>
      </c>
    </row>
    <row r="25" customFormat="false" ht="15" hidden="false" customHeight="true" outlineLevel="0" collapsed="false">
      <c r="A25" s="19" t="s">
        <v>160</v>
      </c>
      <c r="B25" s="19" t="s">
        <v>207</v>
      </c>
      <c r="C25" s="19" t="s">
        <v>208</v>
      </c>
      <c r="D25" s="12" t="s">
        <v>204</v>
      </c>
      <c r="E25" s="21" t="n">
        <v>0.38</v>
      </c>
      <c r="F25" s="21" t="n">
        <v>90</v>
      </c>
      <c r="G25" s="21" t="n">
        <v>230</v>
      </c>
      <c r="H25" s="14" t="n">
        <v>14</v>
      </c>
      <c r="I25" s="15" t="n">
        <v>0.93</v>
      </c>
      <c r="J25" s="15" t="n">
        <v>0.0015</v>
      </c>
      <c r="K25" s="12" t="s">
        <v>233</v>
      </c>
      <c r="L25" s="39"/>
      <c r="M25" s="39" t="str">
        <f aca="false">IF(D25="Não","FORA_MALHA",IF(OR(E25&lt;=0,H25&lt;=0,I25&lt;0.7,I25&gt;1),"ERRO","OK"))</f>
        <v>OK</v>
      </c>
      <c r="N25" s="39" t="str">
        <f aca="false">IF(M25="OK","",IF(M25="FORA_MALHA","Não atende a lane",IF(E25&lt;=0,"Preço inválido",IF(H25&lt;=0,"Prazo inválido",IF(I25&lt;0.7,"OTIF implausível","Revisar")))))</f>
        <v/>
      </c>
    </row>
    <row r="26" customFormat="false" ht="15" hidden="false" customHeight="true" outlineLevel="0" collapsed="false">
      <c r="A26" s="19" t="s">
        <v>164</v>
      </c>
      <c r="B26" s="19" t="s">
        <v>207</v>
      </c>
      <c r="C26" s="19" t="s">
        <v>208</v>
      </c>
      <c r="D26" s="12" t="s">
        <v>234</v>
      </c>
      <c r="E26" s="40"/>
      <c r="F26" s="40"/>
      <c r="G26" s="40"/>
      <c r="H26" s="40"/>
      <c r="I26" s="40"/>
      <c r="J26" s="40"/>
      <c r="K26" s="40"/>
      <c r="L26" s="39" t="s">
        <v>235</v>
      </c>
      <c r="M26" s="39" t="str">
        <f aca="false">IF(D26="Não","FORA_MALHA",IF(OR(E26&lt;=0,H26&lt;=0,I26&lt;0.7,I26&gt;1),"ERRO","OK"))</f>
        <v>FORA_MALHA</v>
      </c>
      <c r="N26" s="39" t="str">
        <f aca="false">IF(M26="OK","",IF(M26="FORA_MALHA","Não atende a lane",IF(E26&lt;=0,"Preço inválido",IF(H26&lt;=0,"Prazo inválido",IF(I26&lt;0.7,"OTIF implausível","Revisar")))))</f>
        <v>Não atende a lane</v>
      </c>
    </row>
    <row r="27" customFormat="false" ht="15" hidden="false" customHeight="true" outlineLevel="0" collapsed="false">
      <c r="A27" s="19" t="s">
        <v>169</v>
      </c>
      <c r="B27" s="19" t="s">
        <v>207</v>
      </c>
      <c r="C27" s="19" t="s">
        <v>208</v>
      </c>
      <c r="D27" s="12" t="s">
        <v>234</v>
      </c>
      <c r="E27" s="40"/>
      <c r="F27" s="40"/>
      <c r="G27" s="40"/>
      <c r="H27" s="40"/>
      <c r="I27" s="40"/>
      <c r="J27" s="40"/>
      <c r="K27" s="40"/>
      <c r="L27" s="39" t="s">
        <v>235</v>
      </c>
      <c r="M27" s="39" t="str">
        <f aca="false">IF(D27="Não","FORA_MALHA",IF(OR(E27&lt;=0,H27&lt;=0,I27&lt;0.7,I27&gt;1),"ERRO","OK"))</f>
        <v>FORA_MALHA</v>
      </c>
      <c r="N27" s="39" t="str">
        <f aca="false">IF(M27="OK","",IF(M27="FORA_MALHA","Não atende a lane",IF(E27&lt;=0,"Preço inválido",IF(H27&lt;=0,"Prazo inválido",IF(I27&lt;0.7,"OTIF implausível","Revisar")))))</f>
        <v>Não atende a lane</v>
      </c>
    </row>
    <row r="28" customFormat="false" ht="15" hidden="false" customHeight="true" outlineLevel="0" collapsed="false">
      <c r="A28" s="19" t="s">
        <v>173</v>
      </c>
      <c r="B28" s="19" t="s">
        <v>207</v>
      </c>
      <c r="C28" s="19" t="s">
        <v>208</v>
      </c>
      <c r="D28" s="12" t="s">
        <v>204</v>
      </c>
      <c r="E28" s="21" t="n">
        <v>0.5</v>
      </c>
      <c r="F28" s="21" t="n">
        <v>650</v>
      </c>
      <c r="G28" s="21" t="n">
        <v>2450</v>
      </c>
      <c r="H28" s="14" t="n">
        <v>20</v>
      </c>
      <c r="I28" s="15" t="n">
        <v>0.9</v>
      </c>
      <c r="J28" s="15" t="n">
        <v>0.0015</v>
      </c>
      <c r="K28" s="12" t="s">
        <v>233</v>
      </c>
      <c r="L28" s="39"/>
      <c r="M28" s="39" t="str">
        <f aca="false">IF(D28="Não","FORA_MALHA",IF(OR(E28&lt;=0,H28&lt;=0,I28&lt;0.7,I28&gt;1),"ERRO","OK"))</f>
        <v>OK</v>
      </c>
      <c r="N28" s="39" t="str">
        <f aca="false">IF(M28="OK","",IF(M28="FORA_MALHA","Não atende a lane",IF(E28&lt;=0,"Preço inválido",IF(H28&lt;=0,"Prazo inválido",IF(I28&lt;0.7,"OTIF implausível","Revisar")))))</f>
        <v/>
      </c>
    </row>
    <row r="29" customFormat="false" ht="15" hidden="false" customHeight="true" outlineLevel="0" collapsed="false">
      <c r="A29" s="19" t="s">
        <v>176</v>
      </c>
      <c r="B29" s="19" t="s">
        <v>207</v>
      </c>
      <c r="C29" s="19" t="s">
        <v>208</v>
      </c>
      <c r="D29" s="12" t="s">
        <v>204</v>
      </c>
      <c r="E29" s="21" t="n">
        <v>0.47</v>
      </c>
      <c r="F29" s="21" t="n">
        <v>600</v>
      </c>
      <c r="G29" s="21" t="n">
        <v>2350</v>
      </c>
      <c r="H29" s="14" t="n">
        <v>17</v>
      </c>
      <c r="I29" s="15" t="n">
        <v>0.91</v>
      </c>
      <c r="J29" s="15" t="n">
        <v>0.0015</v>
      </c>
      <c r="K29" s="12" t="s">
        <v>233</v>
      </c>
      <c r="L29" s="39"/>
      <c r="M29" s="39" t="str">
        <f aca="false">IF(D29="Não","FORA_MALHA",IF(OR(E29&lt;=0,H29&lt;=0,I29&lt;0.7,I29&gt;1),"ERRO","OK"))</f>
        <v>OK</v>
      </c>
      <c r="N29" s="39" t="str">
        <f aca="false">IF(M29="OK","",IF(M29="FORA_MALHA","Não atende a lane",IF(E29&lt;=0,"Preço inválido",IF(H29&lt;=0,"Prazo inválido",IF(I29&lt;0.7,"OTIF implausível","Revisar")))))</f>
        <v/>
      </c>
    </row>
    <row r="30" customFormat="false" ht="15" hidden="false" customHeight="true" outlineLevel="0" collapsed="false">
      <c r="A30" s="19" t="s">
        <v>129</v>
      </c>
      <c r="B30" s="19" t="s">
        <v>212</v>
      </c>
      <c r="C30" s="19" t="s">
        <v>213</v>
      </c>
      <c r="D30" s="12" t="s">
        <v>204</v>
      </c>
      <c r="E30" s="21" t="n">
        <v>0.3</v>
      </c>
      <c r="F30" s="21" t="n">
        <v>430</v>
      </c>
      <c r="G30" s="21" t="n">
        <v>1900</v>
      </c>
      <c r="H30" s="14" t="n">
        <v>14</v>
      </c>
      <c r="I30" s="15" t="n">
        <v>0.9</v>
      </c>
      <c r="J30" s="15" t="n">
        <v>0.0015</v>
      </c>
      <c r="K30" s="12" t="s">
        <v>233</v>
      </c>
      <c r="L30" s="39"/>
      <c r="M30" s="39" t="str">
        <f aca="false">IF(D30="Não","FORA_MALHA",IF(OR(E30&lt;=0,H30&lt;=0,I30&lt;0.7,I30&gt;1),"ERRO","OK"))</f>
        <v>OK</v>
      </c>
      <c r="N30" s="39" t="str">
        <f aca="false">IF(M30="OK","",IF(M30="FORA_MALHA","Não atende a lane",IF(E30&lt;=0,"Preço inválido",IF(H30&lt;=0,"Prazo inválido",IF(I30&lt;0.7,"OTIF implausível","Revisar")))))</f>
        <v/>
      </c>
    </row>
    <row r="31" customFormat="false" ht="15" hidden="false" customHeight="true" outlineLevel="0" collapsed="false">
      <c r="A31" s="19" t="s">
        <v>136</v>
      </c>
      <c r="B31" s="19" t="s">
        <v>212</v>
      </c>
      <c r="C31" s="19" t="s">
        <v>213</v>
      </c>
      <c r="D31" s="12" t="s">
        <v>204</v>
      </c>
      <c r="E31" s="21" t="n">
        <v>0.32</v>
      </c>
      <c r="F31" s="21" t="n">
        <v>390</v>
      </c>
      <c r="G31" s="21" t="n">
        <v>1800</v>
      </c>
      <c r="H31" s="14" t="n">
        <v>12</v>
      </c>
      <c r="I31" s="15" t="n">
        <v>0.89</v>
      </c>
      <c r="J31" s="15" t="n">
        <v>0.0015</v>
      </c>
      <c r="K31" s="12" t="s">
        <v>233</v>
      </c>
      <c r="L31" s="39"/>
      <c r="M31" s="39" t="str">
        <f aca="false">IF(D31="Não","FORA_MALHA",IF(OR(E31&lt;=0,H31&lt;=0,I31&lt;0.7,I31&gt;1),"ERRO","OK"))</f>
        <v>OK</v>
      </c>
      <c r="N31" s="39" t="str">
        <f aca="false">IF(M31="OK","",IF(M31="FORA_MALHA","Não atende a lane",IF(E31&lt;=0,"Preço inválido",IF(H31&lt;=0,"Prazo inválido",IF(I31&lt;0.7,"OTIF implausível","Revisar")))))</f>
        <v/>
      </c>
    </row>
    <row r="32" customFormat="false" ht="15" hidden="false" customHeight="true" outlineLevel="0" collapsed="false">
      <c r="A32" s="19" t="s">
        <v>139</v>
      </c>
      <c r="B32" s="19" t="s">
        <v>212</v>
      </c>
      <c r="C32" s="19" t="s">
        <v>213</v>
      </c>
      <c r="D32" s="12" t="s">
        <v>234</v>
      </c>
      <c r="E32" s="40"/>
      <c r="F32" s="40"/>
      <c r="G32" s="40"/>
      <c r="H32" s="40"/>
      <c r="I32" s="40"/>
      <c r="J32" s="40"/>
      <c r="K32" s="40"/>
      <c r="L32" s="39" t="s">
        <v>235</v>
      </c>
      <c r="M32" s="39" t="str">
        <f aca="false">IF(D32="Não","FORA_MALHA",IF(OR(E32&lt;=0,H32&lt;=0,I32&lt;0.7,I32&gt;1),"ERRO","OK"))</f>
        <v>FORA_MALHA</v>
      </c>
      <c r="N32" s="39" t="str">
        <f aca="false">IF(M32="OK","",IF(M32="FORA_MALHA","Não atende a lane",IF(E32&lt;=0,"Preço inválido",IF(H32&lt;=0,"Prazo inválido",IF(I32&lt;0.7,"OTIF implausível","Revisar")))))</f>
        <v>Não atende a lane</v>
      </c>
    </row>
    <row r="33" customFormat="false" ht="15" hidden="false" customHeight="true" outlineLevel="0" collapsed="false">
      <c r="A33" s="19" t="s">
        <v>142</v>
      </c>
      <c r="B33" s="19" t="s">
        <v>212</v>
      </c>
      <c r="C33" s="19" t="s">
        <v>213</v>
      </c>
      <c r="D33" s="12" t="s">
        <v>234</v>
      </c>
      <c r="E33" s="40"/>
      <c r="F33" s="40"/>
      <c r="G33" s="40"/>
      <c r="H33" s="40"/>
      <c r="I33" s="40"/>
      <c r="J33" s="40"/>
      <c r="K33" s="40"/>
      <c r="L33" s="39" t="s">
        <v>235</v>
      </c>
      <c r="M33" s="39" t="str">
        <f aca="false">IF(D33="Não","FORA_MALHA",IF(OR(E33&lt;=0,H33&lt;=0,I33&lt;0.7,I33&gt;1),"ERRO","OK"))</f>
        <v>FORA_MALHA</v>
      </c>
      <c r="N33" s="39" t="str">
        <f aca="false">IF(M33="OK","",IF(M33="FORA_MALHA","Não atende a lane",IF(E33&lt;=0,"Preço inválido",IF(H33&lt;=0,"Prazo inválido",IF(I33&lt;0.7,"OTIF implausível","Revisar")))))</f>
        <v>Não atende a lane</v>
      </c>
    </row>
    <row r="34" customFormat="false" ht="15" hidden="false" customHeight="true" outlineLevel="0" collapsed="false">
      <c r="A34" s="19" t="s">
        <v>146</v>
      </c>
      <c r="B34" s="19" t="s">
        <v>212</v>
      </c>
      <c r="C34" s="19" t="s">
        <v>213</v>
      </c>
      <c r="D34" s="12" t="s">
        <v>204</v>
      </c>
      <c r="E34" s="21" t="n">
        <v>0.495</v>
      </c>
      <c r="F34" s="21" t="n">
        <v>880</v>
      </c>
      <c r="G34" s="21" t="n">
        <v>2500</v>
      </c>
      <c r="H34" s="14" t="n">
        <v>32</v>
      </c>
      <c r="I34" s="15" t="n">
        <v>0.91</v>
      </c>
      <c r="J34" s="15" t="n">
        <v>0.0015</v>
      </c>
      <c r="K34" s="12" t="s">
        <v>233</v>
      </c>
      <c r="L34" s="39"/>
      <c r="M34" s="39" t="str">
        <f aca="false">IF(D34="Não","FORA_MALHA",IF(OR(E34&lt;=0,H34&lt;=0,I34&lt;0.7,I34&gt;1),"ERRO","OK"))</f>
        <v>OK</v>
      </c>
      <c r="N34" s="39" t="str">
        <f aca="false">IF(M34="OK","",IF(M34="FORA_MALHA","Não atende a lane",IF(E34&lt;=0,"Preço inválido",IF(H34&lt;=0,"Prazo inválido",IF(I34&lt;0.7,"OTIF implausível","Revisar")))))</f>
        <v/>
      </c>
    </row>
    <row r="35" customFormat="false" ht="15" hidden="false" customHeight="true" outlineLevel="0" collapsed="false">
      <c r="A35" s="19" t="s">
        <v>150</v>
      </c>
      <c r="B35" s="19" t="s">
        <v>212</v>
      </c>
      <c r="C35" s="19" t="s">
        <v>213</v>
      </c>
      <c r="D35" s="12" t="s">
        <v>204</v>
      </c>
      <c r="E35" s="21" t="n">
        <v>0.68</v>
      </c>
      <c r="F35" s="21" t="n">
        <v>1380</v>
      </c>
      <c r="G35" s="21" t="n">
        <v>3100</v>
      </c>
      <c r="H35" s="14" t="n">
        <v>54</v>
      </c>
      <c r="I35" s="15" t="n">
        <v>0.9</v>
      </c>
      <c r="J35" s="15" t="n">
        <v>0.0015</v>
      </c>
      <c r="K35" s="12" t="s">
        <v>233</v>
      </c>
      <c r="L35" s="39"/>
      <c r="M35" s="39" t="str">
        <f aca="false">IF(D35="Não","FORA_MALHA",IF(OR(E35&lt;=0,H35&lt;=0,I35&lt;0.7,I35&gt;1),"ERRO","OK"))</f>
        <v>OK</v>
      </c>
      <c r="N35" s="39" t="str">
        <f aca="false">IF(M35="OK","",IF(M35="FORA_MALHA","Não atende a lane",IF(E35&lt;=0,"Preço inválido",IF(H35&lt;=0,"Prazo inválido",IF(I35&lt;0.7,"OTIF implausível","Revisar")))))</f>
        <v/>
      </c>
    </row>
    <row r="36" customFormat="false" ht="15" hidden="false" customHeight="true" outlineLevel="0" collapsed="false">
      <c r="A36" s="19" t="s">
        <v>154</v>
      </c>
      <c r="B36" s="19" t="s">
        <v>212</v>
      </c>
      <c r="C36" s="19" t="s">
        <v>213</v>
      </c>
      <c r="D36" s="12" t="s">
        <v>204</v>
      </c>
      <c r="E36" s="21" t="n">
        <v>0.47</v>
      </c>
      <c r="F36" s="21" t="n">
        <v>90</v>
      </c>
      <c r="G36" s="21" t="n">
        <v>230</v>
      </c>
      <c r="H36" s="14" t="n">
        <v>10</v>
      </c>
      <c r="I36" s="15" t="n">
        <v>0.88</v>
      </c>
      <c r="J36" s="15" t="n">
        <v>0.0015</v>
      </c>
      <c r="K36" s="12" t="s">
        <v>233</v>
      </c>
      <c r="L36" s="39"/>
      <c r="M36" s="39" t="str">
        <f aca="false">IF(D36="Não","FORA_MALHA",IF(OR(E36&lt;=0,H36&lt;=0,I36&lt;0.7,I36&gt;1),"ERRO","OK"))</f>
        <v>OK</v>
      </c>
      <c r="N36" s="39" t="str">
        <f aca="false">IF(M36="OK","",IF(M36="FORA_MALHA","Não atende a lane",IF(E36&lt;=0,"Preço inválido",IF(H36&lt;=0,"Prazo inválido",IF(I36&lt;0.7,"OTIF implausível","Revisar")))))</f>
        <v/>
      </c>
    </row>
    <row r="37" customFormat="false" ht="15" hidden="false" customHeight="true" outlineLevel="0" collapsed="false">
      <c r="A37" s="19" t="s">
        <v>160</v>
      </c>
      <c r="B37" s="19" t="s">
        <v>212</v>
      </c>
      <c r="C37" s="19" t="s">
        <v>213</v>
      </c>
      <c r="D37" s="12" t="s">
        <v>204</v>
      </c>
      <c r="E37" s="21" t="n">
        <v>0.44</v>
      </c>
      <c r="F37" s="21" t="n">
        <v>100</v>
      </c>
      <c r="G37" s="21" t="n">
        <v>260</v>
      </c>
      <c r="H37" s="14" t="n">
        <v>18</v>
      </c>
      <c r="I37" s="15" t="n">
        <v>0.87</v>
      </c>
      <c r="J37" s="15" t="n">
        <v>0.0015</v>
      </c>
      <c r="K37" s="12" t="s">
        <v>233</v>
      </c>
      <c r="L37" s="39"/>
      <c r="M37" s="39" t="str">
        <f aca="false">IF(D37="Não","FORA_MALHA",IF(OR(E37&lt;=0,H37&lt;=0,I37&lt;0.7,I37&gt;1),"ERRO","OK"))</f>
        <v>OK</v>
      </c>
      <c r="N37" s="39" t="str">
        <f aca="false">IF(M37="OK","",IF(M37="FORA_MALHA","Não atende a lane",IF(E37&lt;=0,"Preço inválido",IF(H37&lt;=0,"Prazo inválido",IF(I37&lt;0.7,"OTIF implausível","Revisar")))))</f>
        <v/>
      </c>
    </row>
    <row r="38" customFormat="false" ht="15" hidden="false" customHeight="true" outlineLevel="0" collapsed="false">
      <c r="A38" s="19" t="s">
        <v>164</v>
      </c>
      <c r="B38" s="19" t="s">
        <v>212</v>
      </c>
      <c r="C38" s="19" t="s">
        <v>213</v>
      </c>
      <c r="D38" s="12" t="s">
        <v>234</v>
      </c>
      <c r="E38" s="40"/>
      <c r="F38" s="40"/>
      <c r="G38" s="40"/>
      <c r="H38" s="40"/>
      <c r="I38" s="40"/>
      <c r="J38" s="40"/>
      <c r="K38" s="40"/>
      <c r="L38" s="39" t="s">
        <v>235</v>
      </c>
      <c r="M38" s="39" t="str">
        <f aca="false">IF(D38="Não","FORA_MALHA",IF(OR(E38&lt;=0,H38&lt;=0,I38&lt;0.7,I38&gt;1),"ERRO","OK"))</f>
        <v>FORA_MALHA</v>
      </c>
      <c r="N38" s="39" t="str">
        <f aca="false">IF(M38="OK","",IF(M38="FORA_MALHA","Não atende a lane",IF(E38&lt;=0,"Preço inválido",IF(H38&lt;=0,"Prazo inválido",IF(I38&lt;0.7,"OTIF implausível","Revisar")))))</f>
        <v>Não atende a lane</v>
      </c>
    </row>
    <row r="39" customFormat="false" ht="15" hidden="false" customHeight="true" outlineLevel="0" collapsed="false">
      <c r="A39" s="19" t="s">
        <v>169</v>
      </c>
      <c r="B39" s="19" t="s">
        <v>212</v>
      </c>
      <c r="C39" s="19" t="s">
        <v>213</v>
      </c>
      <c r="D39" s="12" t="s">
        <v>234</v>
      </c>
      <c r="E39" s="40"/>
      <c r="F39" s="40"/>
      <c r="G39" s="40"/>
      <c r="H39" s="40"/>
      <c r="I39" s="40"/>
      <c r="J39" s="40"/>
      <c r="K39" s="40"/>
      <c r="L39" s="39" t="s">
        <v>235</v>
      </c>
      <c r="M39" s="39" t="str">
        <f aca="false">IF(D39="Não","FORA_MALHA",IF(OR(E39&lt;=0,H39&lt;=0,I39&lt;0.7,I39&gt;1),"ERRO","OK"))</f>
        <v>FORA_MALHA</v>
      </c>
      <c r="N39" s="39" t="str">
        <f aca="false">IF(M39="OK","",IF(M39="FORA_MALHA","Não atende a lane",IF(E39&lt;=0,"Preço inválido",IF(H39&lt;=0,"Prazo inválido",IF(I39&lt;0.7,"OTIF implausível","Revisar")))))</f>
        <v>Não atende a lane</v>
      </c>
    </row>
    <row r="40" customFormat="false" ht="15" hidden="false" customHeight="true" outlineLevel="0" collapsed="false">
      <c r="A40" s="19" t="s">
        <v>173</v>
      </c>
      <c r="B40" s="19" t="s">
        <v>212</v>
      </c>
      <c r="C40" s="19" t="s">
        <v>213</v>
      </c>
      <c r="D40" s="12" t="s">
        <v>204</v>
      </c>
      <c r="E40" s="21" t="n">
        <v>0.43</v>
      </c>
      <c r="F40" s="21" t="n">
        <v>610</v>
      </c>
      <c r="G40" s="21" t="n">
        <v>2200</v>
      </c>
      <c r="H40" s="14" t="n">
        <v>16</v>
      </c>
      <c r="I40" s="15" t="n">
        <v>0.93</v>
      </c>
      <c r="J40" s="15" t="n">
        <v>0.0015</v>
      </c>
      <c r="K40" s="12" t="s">
        <v>233</v>
      </c>
      <c r="L40" s="39"/>
      <c r="M40" s="39" t="str">
        <f aca="false">IF(D40="Não","FORA_MALHA",IF(OR(E40&lt;=0,H40&lt;=0,I40&lt;0.7,I40&gt;1),"ERRO","OK"))</f>
        <v>OK</v>
      </c>
      <c r="N40" s="39" t="str">
        <f aca="false">IF(M40="OK","",IF(M40="FORA_MALHA","Não atende a lane",IF(E40&lt;=0,"Preço inválido",IF(H40&lt;=0,"Prazo inválido",IF(I40&lt;0.7,"OTIF implausível","Revisar")))))</f>
        <v/>
      </c>
    </row>
    <row r="41" customFormat="false" ht="15" hidden="false" customHeight="true" outlineLevel="0" collapsed="false">
      <c r="A41" s="19" t="s">
        <v>176</v>
      </c>
      <c r="B41" s="19" t="s">
        <v>212</v>
      </c>
      <c r="C41" s="19" t="s">
        <v>213</v>
      </c>
      <c r="D41" s="12" t="s">
        <v>204</v>
      </c>
      <c r="E41" s="21" t="n">
        <v>0.41</v>
      </c>
      <c r="F41" s="21" t="n">
        <v>560</v>
      </c>
      <c r="G41" s="21" t="n">
        <v>2100</v>
      </c>
      <c r="H41" s="14" t="n">
        <v>14</v>
      </c>
      <c r="I41" s="15" t="n">
        <v>0.93</v>
      </c>
      <c r="J41" s="15" t="n">
        <v>0.0015</v>
      </c>
      <c r="K41" s="12" t="s">
        <v>233</v>
      </c>
      <c r="L41" s="39"/>
      <c r="M41" s="39" t="str">
        <f aca="false">IF(D41="Não","FORA_MALHA",IF(OR(E41&lt;=0,H41&lt;=0,I41&lt;0.7,I41&gt;1),"ERRO","OK"))</f>
        <v>OK</v>
      </c>
      <c r="N41" s="39" t="str">
        <f aca="false">IF(M41="OK","",IF(M41="FORA_MALHA","Não atende a lane",IF(E41&lt;=0,"Preço inválido",IF(H41&lt;=0,"Prazo inválido",IF(I41&lt;0.7,"OTIF implausível","Revisar")))))</f>
        <v/>
      </c>
    </row>
    <row r="42" customFormat="false" ht="15" hidden="false" customHeight="true" outlineLevel="0" collapsed="false">
      <c r="A42" s="19" t="s">
        <v>129</v>
      </c>
      <c r="B42" s="19" t="s">
        <v>217</v>
      </c>
      <c r="C42" s="19" t="s">
        <v>218</v>
      </c>
      <c r="D42" s="12" t="s">
        <v>234</v>
      </c>
      <c r="E42" s="40"/>
      <c r="F42" s="40"/>
      <c r="G42" s="40"/>
      <c r="H42" s="40"/>
      <c r="I42" s="40"/>
      <c r="J42" s="40"/>
      <c r="K42" s="40"/>
      <c r="L42" s="39" t="s">
        <v>235</v>
      </c>
      <c r="M42" s="39" t="str">
        <f aca="false">IF(D42="Não","FORA_MALHA",IF(OR(E42&lt;=0,H42&lt;=0,I42&lt;0.7,I42&gt;1),"ERRO","OK"))</f>
        <v>FORA_MALHA</v>
      </c>
      <c r="N42" s="39" t="str">
        <f aca="false">IF(M42="OK","",IF(M42="FORA_MALHA","Não atende a lane",IF(E42&lt;=0,"Preço inválido",IF(H42&lt;=0,"Prazo inválido",IF(I42&lt;0.7,"OTIF implausível","Revisar")))))</f>
        <v>Não atende a lane</v>
      </c>
    </row>
    <row r="43" customFormat="false" ht="15" hidden="false" customHeight="true" outlineLevel="0" collapsed="false">
      <c r="A43" s="19" t="s">
        <v>136</v>
      </c>
      <c r="B43" s="19" t="s">
        <v>217</v>
      </c>
      <c r="C43" s="19" t="s">
        <v>218</v>
      </c>
      <c r="D43" s="12" t="s">
        <v>234</v>
      </c>
      <c r="E43" s="40"/>
      <c r="F43" s="40"/>
      <c r="G43" s="40"/>
      <c r="H43" s="40"/>
      <c r="I43" s="40"/>
      <c r="J43" s="40"/>
      <c r="K43" s="40"/>
      <c r="L43" s="39" t="s">
        <v>235</v>
      </c>
      <c r="M43" s="39" t="str">
        <f aca="false">IF(D43="Não","FORA_MALHA",IF(OR(E43&lt;=0,H43&lt;=0,I43&lt;0.7,I43&gt;1),"ERRO","OK"))</f>
        <v>FORA_MALHA</v>
      </c>
      <c r="N43" s="39" t="str">
        <f aca="false">IF(M43="OK","",IF(M43="FORA_MALHA","Não atende a lane",IF(E43&lt;=0,"Preço inválido",IF(H43&lt;=0,"Prazo inválido",IF(I43&lt;0.7,"OTIF implausível","Revisar")))))</f>
        <v>Não atende a lane</v>
      </c>
    </row>
    <row r="44" customFormat="false" ht="15" hidden="false" customHeight="true" outlineLevel="0" collapsed="false">
      <c r="A44" s="19" t="s">
        <v>139</v>
      </c>
      <c r="B44" s="19" t="s">
        <v>217</v>
      </c>
      <c r="C44" s="19" t="s">
        <v>218</v>
      </c>
      <c r="D44" s="12" t="s">
        <v>234</v>
      </c>
      <c r="E44" s="40"/>
      <c r="F44" s="40"/>
      <c r="G44" s="40"/>
      <c r="H44" s="40"/>
      <c r="I44" s="40"/>
      <c r="J44" s="40"/>
      <c r="K44" s="40"/>
      <c r="L44" s="39" t="s">
        <v>235</v>
      </c>
      <c r="M44" s="39" t="str">
        <f aca="false">IF(D44="Não","FORA_MALHA",IF(OR(E44&lt;=0,H44&lt;=0,I44&lt;0.7,I44&gt;1),"ERRO","OK"))</f>
        <v>FORA_MALHA</v>
      </c>
      <c r="N44" s="39" t="str">
        <f aca="false">IF(M44="OK","",IF(M44="FORA_MALHA","Não atende a lane",IF(E44&lt;=0,"Preço inválido",IF(H44&lt;=0,"Prazo inválido",IF(I44&lt;0.7,"OTIF implausível","Revisar")))))</f>
        <v>Não atende a lane</v>
      </c>
    </row>
    <row r="45" customFormat="false" ht="15" hidden="false" customHeight="true" outlineLevel="0" collapsed="false">
      <c r="A45" s="19" t="s">
        <v>142</v>
      </c>
      <c r="B45" s="19" t="s">
        <v>217</v>
      </c>
      <c r="C45" s="19" t="s">
        <v>218</v>
      </c>
      <c r="D45" s="12" t="s">
        <v>234</v>
      </c>
      <c r="E45" s="40"/>
      <c r="F45" s="40"/>
      <c r="G45" s="40"/>
      <c r="H45" s="40"/>
      <c r="I45" s="40"/>
      <c r="J45" s="40"/>
      <c r="K45" s="40"/>
      <c r="L45" s="39" t="s">
        <v>235</v>
      </c>
      <c r="M45" s="39" t="str">
        <f aca="false">IF(D45="Não","FORA_MALHA",IF(OR(E45&lt;=0,H45&lt;=0,I45&lt;0.7,I45&gt;1),"ERRO","OK"))</f>
        <v>FORA_MALHA</v>
      </c>
      <c r="N45" s="39" t="str">
        <f aca="false">IF(M45="OK","",IF(M45="FORA_MALHA","Não atende a lane",IF(E45&lt;=0,"Preço inválido",IF(H45&lt;=0,"Prazo inválido",IF(I45&lt;0.7,"OTIF implausível","Revisar")))))</f>
        <v>Não atende a lane</v>
      </c>
    </row>
    <row r="46" customFormat="false" ht="15" hidden="false" customHeight="true" outlineLevel="0" collapsed="false">
      <c r="A46" s="19" t="s">
        <v>146</v>
      </c>
      <c r="B46" s="19" t="s">
        <v>217</v>
      </c>
      <c r="C46" s="19" t="s">
        <v>218</v>
      </c>
      <c r="D46" s="12" t="s">
        <v>234</v>
      </c>
      <c r="E46" s="40"/>
      <c r="F46" s="40"/>
      <c r="G46" s="40"/>
      <c r="H46" s="40"/>
      <c r="I46" s="40"/>
      <c r="J46" s="40"/>
      <c r="K46" s="40"/>
      <c r="L46" s="39" t="s">
        <v>235</v>
      </c>
      <c r="M46" s="39" t="str">
        <f aca="false">IF(D46="Não","FORA_MALHA",IF(OR(E46&lt;=0,H46&lt;=0,I46&lt;0.7,I46&gt;1),"ERRO","OK"))</f>
        <v>FORA_MALHA</v>
      </c>
      <c r="N46" s="39" t="str">
        <f aca="false">IF(M46="OK","",IF(M46="FORA_MALHA","Não atende a lane",IF(E46&lt;=0,"Preço inválido",IF(H46&lt;=0,"Prazo inválido",IF(I46&lt;0.7,"OTIF implausível","Revisar")))))</f>
        <v>Não atende a lane</v>
      </c>
    </row>
    <row r="47" customFormat="false" ht="15" hidden="false" customHeight="true" outlineLevel="0" collapsed="false">
      <c r="A47" s="19" t="s">
        <v>150</v>
      </c>
      <c r="B47" s="19" t="s">
        <v>217</v>
      </c>
      <c r="C47" s="19" t="s">
        <v>218</v>
      </c>
      <c r="D47" s="12" t="s">
        <v>234</v>
      </c>
      <c r="E47" s="40"/>
      <c r="F47" s="40"/>
      <c r="G47" s="40"/>
      <c r="H47" s="40"/>
      <c r="I47" s="40"/>
      <c r="J47" s="40"/>
      <c r="K47" s="40"/>
      <c r="L47" s="39" t="s">
        <v>235</v>
      </c>
      <c r="M47" s="39" t="str">
        <f aca="false">IF(D47="Não","FORA_MALHA",IF(OR(E47&lt;=0,H47&lt;=0,I47&lt;0.7,I47&gt;1),"ERRO","OK"))</f>
        <v>FORA_MALHA</v>
      </c>
      <c r="N47" s="39" t="str">
        <f aca="false">IF(M47="OK","",IF(M47="FORA_MALHA","Não atende a lane",IF(E47&lt;=0,"Preço inválido",IF(H47&lt;=0,"Prazo inválido",IF(I47&lt;0.7,"OTIF implausível","Revisar")))))</f>
        <v>Não atende a lane</v>
      </c>
    </row>
    <row r="48" customFormat="false" ht="15" hidden="false" customHeight="true" outlineLevel="0" collapsed="false">
      <c r="A48" s="19" t="s">
        <v>154</v>
      </c>
      <c r="B48" s="19" t="s">
        <v>217</v>
      </c>
      <c r="C48" s="19" t="s">
        <v>218</v>
      </c>
      <c r="D48" s="12" t="s">
        <v>204</v>
      </c>
      <c r="E48" s="21" t="n">
        <v>0.455</v>
      </c>
      <c r="F48" s="21" t="n">
        <v>70</v>
      </c>
      <c r="G48" s="21" t="n">
        <v>180</v>
      </c>
      <c r="H48" s="14" t="n">
        <v>6</v>
      </c>
      <c r="I48" s="15" t="n">
        <v>0.93</v>
      </c>
      <c r="J48" s="15" t="n">
        <v>0.0015</v>
      </c>
      <c r="K48" s="12" t="s">
        <v>233</v>
      </c>
      <c r="L48" s="39"/>
      <c r="M48" s="39" t="str">
        <f aca="false">IF(D48="Não","FORA_MALHA",IF(OR(E48&lt;=0,H48&lt;=0,I48&lt;0.7,I48&gt;1),"ERRO","OK"))</f>
        <v>OK</v>
      </c>
      <c r="N48" s="39" t="str">
        <f aca="false">IF(M48="OK","",IF(M48="FORA_MALHA","Não atende a lane",IF(E48&lt;=0,"Preço inválido",IF(H48&lt;=0,"Prazo inválido",IF(I48&lt;0.7,"OTIF implausível","Revisar")))))</f>
        <v/>
      </c>
    </row>
    <row r="49" customFormat="false" ht="15" hidden="false" customHeight="true" outlineLevel="0" collapsed="false">
      <c r="A49" s="19" t="s">
        <v>160</v>
      </c>
      <c r="B49" s="19" t="s">
        <v>217</v>
      </c>
      <c r="C49" s="19" t="s">
        <v>218</v>
      </c>
      <c r="D49" s="12" t="s">
        <v>204</v>
      </c>
      <c r="E49" s="21" t="n">
        <v>0.4</v>
      </c>
      <c r="F49" s="21" t="n">
        <v>80</v>
      </c>
      <c r="G49" s="21" t="n">
        <v>200</v>
      </c>
      <c r="H49" s="14" t="n">
        <v>12</v>
      </c>
      <c r="I49" s="15" t="n">
        <v>0.92</v>
      </c>
      <c r="J49" s="15" t="n">
        <v>0.0015</v>
      </c>
      <c r="K49" s="12" t="s">
        <v>233</v>
      </c>
      <c r="L49" s="39"/>
      <c r="M49" s="39" t="str">
        <f aca="false">IF(D49="Não","FORA_MALHA",IF(OR(E49&lt;=0,H49&lt;=0,I49&lt;0.7,I49&gt;1),"ERRO","OK"))</f>
        <v>OK</v>
      </c>
      <c r="N49" s="39" t="str">
        <f aca="false">IF(M49="OK","",IF(M49="FORA_MALHA","Não atende a lane",IF(E49&lt;=0,"Preço inválido",IF(H49&lt;=0,"Prazo inválido",IF(I49&lt;0.7,"OTIF implausível","Revisar")))))</f>
        <v/>
      </c>
    </row>
    <row r="50" customFormat="false" ht="15" hidden="false" customHeight="true" outlineLevel="0" collapsed="false">
      <c r="A50" s="19" t="s">
        <v>164</v>
      </c>
      <c r="B50" s="19" t="s">
        <v>217</v>
      </c>
      <c r="C50" s="19" t="s">
        <v>218</v>
      </c>
      <c r="D50" s="12" t="s">
        <v>204</v>
      </c>
      <c r="E50" s="21" t="n">
        <v>1.48</v>
      </c>
      <c r="F50" s="21" t="n">
        <v>0</v>
      </c>
      <c r="G50" s="21" t="n">
        <v>14</v>
      </c>
      <c r="H50" s="14" t="n">
        <v>20</v>
      </c>
      <c r="I50" s="15" t="n">
        <v>0.94</v>
      </c>
      <c r="J50" s="15" t="n">
        <v>0.0015</v>
      </c>
      <c r="K50" s="12" t="s">
        <v>233</v>
      </c>
      <c r="L50" s="39"/>
      <c r="M50" s="39" t="str">
        <f aca="false">IF(D50="Não","FORA_MALHA",IF(OR(E50&lt;=0,H50&lt;=0,I50&lt;0.7,I50&gt;1),"ERRO","OK"))</f>
        <v>OK</v>
      </c>
      <c r="N50" s="39" t="str">
        <f aca="false">IF(M50="OK","",IF(M50="FORA_MALHA","Não atende a lane",IF(E50&lt;=0,"Preço inválido",IF(H50&lt;=0,"Prazo inválido",IF(I50&lt;0.7,"OTIF implausível","Revisar")))))</f>
        <v/>
      </c>
    </row>
    <row r="51" customFormat="false" ht="15" hidden="false" customHeight="true" outlineLevel="0" collapsed="false">
      <c r="A51" s="19" t="s">
        <v>169</v>
      </c>
      <c r="B51" s="19" t="s">
        <v>217</v>
      </c>
      <c r="C51" s="19" t="s">
        <v>218</v>
      </c>
      <c r="D51" s="12" t="s">
        <v>204</v>
      </c>
      <c r="E51" s="21" t="n">
        <v>1.35</v>
      </c>
      <c r="F51" s="21" t="n">
        <v>0</v>
      </c>
      <c r="G51" s="21" t="n">
        <v>13</v>
      </c>
      <c r="H51" s="14" t="n">
        <v>20</v>
      </c>
      <c r="I51" s="15" t="n">
        <v>0.95</v>
      </c>
      <c r="J51" s="15" t="n">
        <v>0.0015</v>
      </c>
      <c r="K51" s="12" t="s">
        <v>233</v>
      </c>
      <c r="L51" s="39"/>
      <c r="M51" s="39" t="str">
        <f aca="false">IF(D51="Não","FORA_MALHA",IF(OR(E51&lt;=0,H51&lt;=0,I51&lt;0.7,I51&gt;1),"ERRO","OK"))</f>
        <v>OK</v>
      </c>
      <c r="N51" s="39" t="str">
        <f aca="false">IF(M51="OK","",IF(M51="FORA_MALHA","Não atende a lane",IF(E51&lt;=0,"Preço inválido",IF(H51&lt;=0,"Prazo inválido",IF(I51&lt;0.7,"OTIF implausível","Revisar")))))</f>
        <v/>
      </c>
    </row>
    <row r="52" customFormat="false" ht="15" hidden="false" customHeight="true" outlineLevel="0" collapsed="false">
      <c r="A52" s="19" t="s">
        <v>173</v>
      </c>
      <c r="B52" s="19" t="s">
        <v>217</v>
      </c>
      <c r="C52" s="19" t="s">
        <v>218</v>
      </c>
      <c r="D52" s="12" t="s">
        <v>234</v>
      </c>
      <c r="E52" s="40"/>
      <c r="F52" s="40"/>
      <c r="G52" s="40"/>
      <c r="H52" s="40"/>
      <c r="I52" s="40"/>
      <c r="J52" s="40"/>
      <c r="K52" s="40"/>
      <c r="L52" s="39" t="s">
        <v>235</v>
      </c>
      <c r="M52" s="39" t="str">
        <f aca="false">IF(D52="Não","FORA_MALHA",IF(OR(E52&lt;=0,H52&lt;=0,I52&lt;0.7,I52&gt;1),"ERRO","OK"))</f>
        <v>FORA_MALHA</v>
      </c>
      <c r="N52" s="39" t="str">
        <f aca="false">IF(M52="OK","",IF(M52="FORA_MALHA","Não atende a lane",IF(E52&lt;=0,"Preço inválido",IF(H52&lt;=0,"Prazo inválido",IF(I52&lt;0.7,"OTIF implausível","Revisar")))))</f>
        <v>Não atende a lane</v>
      </c>
    </row>
    <row r="53" customFormat="false" ht="15" hidden="false" customHeight="true" outlineLevel="0" collapsed="false">
      <c r="A53" s="19" t="s">
        <v>176</v>
      </c>
      <c r="B53" s="19" t="s">
        <v>217</v>
      </c>
      <c r="C53" s="19" t="s">
        <v>218</v>
      </c>
      <c r="D53" s="12" t="s">
        <v>234</v>
      </c>
      <c r="E53" s="40"/>
      <c r="F53" s="40"/>
      <c r="G53" s="40"/>
      <c r="H53" s="40"/>
      <c r="I53" s="40"/>
      <c r="J53" s="40"/>
      <c r="K53" s="40"/>
      <c r="L53" s="39" t="s">
        <v>235</v>
      </c>
      <c r="M53" s="39" t="str">
        <f aca="false">IF(D53="Não","FORA_MALHA",IF(OR(E53&lt;=0,H53&lt;=0,I53&lt;0.7,I53&gt;1),"ERRO","OK"))</f>
        <v>FORA_MALHA</v>
      </c>
      <c r="N53" s="39" t="str">
        <f aca="false">IF(M53="OK","",IF(M53="FORA_MALHA","Não atende a lane",IF(E53&lt;=0,"Preço inválido",IF(H53&lt;=0,"Prazo inválido",IF(I53&lt;0.7,"OTIF implausível","Revisar")))))</f>
        <v>Não atende a lane</v>
      </c>
    </row>
    <row r="55" customFormat="false" ht="15" hidden="false" customHeight="true" outlineLevel="0" collapsed="false">
      <c r="A55" s="7" t="s">
        <v>236</v>
      </c>
      <c r="B55" s="41" t="n">
        <f aca="false">COUNTIF(M6:M53,"OK")</f>
        <v>33</v>
      </c>
    </row>
    <row r="56" customFormat="false" ht="15" hidden="false" customHeight="true" outlineLevel="0" collapsed="false">
      <c r="A56" s="7" t="s">
        <v>237</v>
      </c>
      <c r="B56" s="41" t="n">
        <f aca="false">COUNTIF(M6:M53,"ERRO")</f>
        <v>0</v>
      </c>
    </row>
    <row r="57" customFormat="false" ht="15" hidden="false" customHeight="true" outlineLevel="0" collapsed="false">
      <c r="A57" s="7" t="s">
        <v>238</v>
      </c>
      <c r="B57" s="41" t="n">
        <f aca="false">COUNTIF(M6:M53,"FORA_MALHA")</f>
        <v>15</v>
      </c>
    </row>
  </sheetData>
  <autoFilter ref="A5:N53"/>
  <mergeCells count="2">
    <mergeCell ref="A1:R1"/>
    <mergeCell ref="A2:R2"/>
  </mergeCells>
  <conditionalFormatting sqref="M6:M53">
    <cfRule type="expression" priority="2" aboveAverage="0" equalAverage="0" bottom="0" percent="0" rank="0" text="" dxfId="8">
      <formula>M6="OK"</formula>
    </cfRule>
    <cfRule type="expression" priority="3" aboveAverage="0" equalAverage="0" bottom="0" percent="0" rank="0" text="" dxfId="9">
      <formula>M6="ERRO"</formula>
    </cfRule>
    <cfRule type="expression" priority="4" aboveAverage="0" equalAverage="0" bottom="0" percent="0" rank="0" text="" dxfId="10">
      <formula>M6="FORA_MALHA"</formula>
    </cfRule>
  </conditionalFormatting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18"/>
    <col collapsed="false" customWidth="true" hidden="false" outlineLevel="0" max="4" min="4" style="1" width="12"/>
    <col collapsed="false" customWidth="true" hidden="false" outlineLevel="0" max="5" min="5" style="1" width="14"/>
    <col collapsed="false" customWidth="true" hidden="false" outlineLevel="0" max="8" min="6" style="1" width="20"/>
    <col collapsed="false" customWidth="true" hidden="false" outlineLevel="0" max="9" min="9" style="1" width="14"/>
    <col collapsed="false" customWidth="true" hidden="false" outlineLevel="0" max="12" min="10" style="1" width="10"/>
    <col collapsed="false" customWidth="true" hidden="false" outlineLevel="0" max="13" min="13" style="1" width="12"/>
    <col collapsed="false" customWidth="true" hidden="false" outlineLevel="0" max="14" min="14" style="1" width="14"/>
  </cols>
  <sheetData>
    <row r="1" customFormat="false" ht="27.75" hidden="false" customHeight="true" outlineLevel="0" collapsed="false">
      <c r="A1" s="2" t="s">
        <v>239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8" hidden="false" customHeight="true" outlineLevel="0" collapsed="false">
      <c r="A2" s="3" t="s">
        <v>240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5" customFormat="false" ht="27.75" hidden="false" customHeight="true" outlineLevel="0" collapsed="false">
      <c r="A5" s="9" t="s">
        <v>113</v>
      </c>
      <c r="B5" s="9" t="s">
        <v>192</v>
      </c>
      <c r="C5" s="9" t="s">
        <v>193</v>
      </c>
      <c r="D5" s="9" t="s">
        <v>241</v>
      </c>
      <c r="E5" s="9" t="s">
        <v>225</v>
      </c>
      <c r="F5" s="9" t="s">
        <v>242</v>
      </c>
      <c r="G5" s="9" t="s">
        <v>243</v>
      </c>
      <c r="H5" s="9" t="s">
        <v>244</v>
      </c>
      <c r="I5" s="9" t="s">
        <v>245</v>
      </c>
      <c r="J5" s="9" t="s">
        <v>246</v>
      </c>
      <c r="K5" s="9" t="s">
        <v>247</v>
      </c>
      <c r="L5" s="9" t="s">
        <v>248</v>
      </c>
      <c r="M5" s="9" t="s">
        <v>249</v>
      </c>
      <c r="N5" s="9" t="s">
        <v>250</v>
      </c>
    </row>
    <row r="6" customFormat="false" ht="15" hidden="false" customHeight="true" outlineLevel="0" collapsed="false">
      <c r="A6" s="30" t="str">
        <f aca="false">05_Propostas!A6</f>
        <v>L01</v>
      </c>
      <c r="B6" s="30" t="str">
        <f aca="false">05_Propostas!B6</f>
        <v>TR01</v>
      </c>
      <c r="C6" s="30" t="str">
        <f aca="false">05_Propostas!C6</f>
        <v>TransLeste</v>
      </c>
      <c r="D6" s="30" t="str">
        <f aca="false">05_Propostas!M6</f>
        <v>OK</v>
      </c>
      <c r="E6" s="33" t="n">
        <f aca="false">05_Propostas!E6</f>
        <v>0.255</v>
      </c>
      <c r="F6" s="32" t="n">
        <f aca="false">IF(D6&lt;&gt;"OK",0,MAX(INDEX(03_Baseline_Rotas!$G$6:$G$17,MATCH(A6,03_Baseline_Rotas!$A$6:$A$17,0)),INDEX(03_Baseline_Rotas!$H$6:$H$17,MATCH(A6,03_Baseline_Rotas!$A$6:$A$17,0))*02_Premissas!$B$9)*E6+INDEX(03_Baseline_Rotas!$I$6:$I$17,MATCH(A6,03_Baseline_Rotas!$A$6:$A$17,0))*05_Propostas!F6+INDEX(03_Baseline_Rotas!$J$6:$J$17,MATCH(A6,03_Baseline_Rotas!$A$6:$A$17,0))*(IF(05_Propostas!J6="",02_Premissas!$B$10,05_Propostas!J6))+IF(MAX(INDEX(03_Baseline_Rotas!$G$6:$G$17,MATCH(A6,03_Baseline_Rotas!$A$6:$A$17,0)),INDEX(03_Baseline_Rotas!$H$6:$H$17,MATCH(A6,03_Baseline_Rotas!$A$6:$A$17,0))*02_Premissas!$B$9)*E6&lt;INDEX(03_Baseline_Rotas!$I$6:$I$17,MATCH(A6,03_Baseline_Rotas!$A$6:$A$17,0))*05_Propostas!G6,INDEX(03_Baseline_Rotas!$I$6:$I$17,MATCH(A6,03_Baseline_Rotas!$A$6:$A$17,0))*05_Propostas!G6-MAX(INDEX(03_Baseline_Rotas!$G$6:$G$17,MATCH(A6,03_Baseline_Rotas!$A$6:$A$17,0)),INDEX(03_Baseline_Rotas!$H$6:$H$17,MATCH(A6,03_Baseline_Rotas!$A$6:$A$17,0))*02_Premissas!$B$9)*E6,0))</f>
        <v>98470</v>
      </c>
      <c r="G6" s="32" t="n">
        <f aca="false">F6*02_Premissas!$B$8</f>
        <v>1181640</v>
      </c>
      <c r="H6" s="32" t="n">
        <f aca="false">IFERROR(INDEX(03_Baseline_Rotas!$G$23:$G$34,MATCH(A6,03_Baseline_Rotas!$A$6:$A$17,0)),0)</f>
        <v>106260</v>
      </c>
      <c r="I6" s="32" t="n">
        <f aca="false">IF(D6&lt;&gt;"OK","",F6-H6)</f>
        <v>-7790.00000000002</v>
      </c>
      <c r="J6" s="42" t="n">
        <f aca="false">IF(OR(D6&lt;&gt;"OK",H6=0),"",(F6-H6)/H6)</f>
        <v>-0.0733107472237908</v>
      </c>
      <c r="K6" s="31" t="n">
        <f aca="false">05_Propostas!H6</f>
        <v>12</v>
      </c>
      <c r="L6" s="42" t="n">
        <f aca="false">05_Propostas!I6</f>
        <v>0.93</v>
      </c>
      <c r="M6" s="43" t="str">
        <f aca="false">IF(D6&lt;&gt;"OK","",IF(E6&lt;02_Premissas!$B$16*INDEX(03_Baseline_Rotas!$K$6:$K$17,MATCH(A6,03_Baseline_Rotas!$A$6:$A$17,0)),"DUMP","OK"))</f>
        <v>OK</v>
      </c>
      <c r="N6" s="44" t="str">
        <f aca="false">IF(OR(D6&lt;&gt;"OK",F6=0),"",IF(ABS(F6-MIN(IF(D6="OK",F6,9900000000),IF(D18="OK",F18,9900000000),IF(D30="OK",F30,9900000000),IF(D42="OK",F42,9900000000)))&lt;0.51,"MELHOR",""))</f>
        <v>MELHOR</v>
      </c>
    </row>
    <row r="7" customFormat="false" ht="15" hidden="false" customHeight="true" outlineLevel="0" collapsed="false">
      <c r="A7" s="30" t="str">
        <f aca="false">05_Propostas!A7</f>
        <v>L02</v>
      </c>
      <c r="B7" s="30" t="str">
        <f aca="false">05_Propostas!B7</f>
        <v>TR01</v>
      </c>
      <c r="C7" s="30" t="str">
        <f aca="false">05_Propostas!C7</f>
        <v>TransLeste</v>
      </c>
      <c r="D7" s="30" t="str">
        <f aca="false">05_Propostas!M7</f>
        <v>OK</v>
      </c>
      <c r="E7" s="33" t="n">
        <f aca="false">05_Propostas!E7</f>
        <v>0.29</v>
      </c>
      <c r="F7" s="32" t="n">
        <f aca="false">IF(D7&lt;&gt;"OK",0,MAX(INDEX(03_Baseline_Rotas!$G$6:$G$17,MATCH(A7,03_Baseline_Rotas!$A$6:$A$17,0)),INDEX(03_Baseline_Rotas!$H$6:$H$17,MATCH(A7,03_Baseline_Rotas!$A$6:$A$17,0))*02_Premissas!$B$9)*E7+INDEX(03_Baseline_Rotas!$I$6:$I$17,MATCH(A7,03_Baseline_Rotas!$A$6:$A$17,0))*05_Propostas!F7+INDEX(03_Baseline_Rotas!$J$6:$J$17,MATCH(A7,03_Baseline_Rotas!$A$6:$A$17,0))*(IF(05_Propostas!J7="",02_Premissas!$B$10,05_Propostas!J7))+IF(MAX(INDEX(03_Baseline_Rotas!$G$6:$G$17,MATCH(A7,03_Baseline_Rotas!$A$6:$A$17,0)),INDEX(03_Baseline_Rotas!$H$6:$H$17,MATCH(A7,03_Baseline_Rotas!$A$6:$A$17,0))*02_Premissas!$B$9)*E7&lt;INDEX(03_Baseline_Rotas!$I$6:$I$17,MATCH(A7,03_Baseline_Rotas!$A$6:$A$17,0))*05_Propostas!G7,INDEX(03_Baseline_Rotas!$I$6:$I$17,MATCH(A7,03_Baseline_Rotas!$A$6:$A$17,0))*05_Propostas!G7-MAX(INDEX(03_Baseline_Rotas!$G$6:$G$17,MATCH(A7,03_Baseline_Rotas!$A$6:$A$17,0)),INDEX(03_Baseline_Rotas!$H$6:$H$17,MATCH(A7,03_Baseline_Rotas!$A$6:$A$17,0))*02_Premissas!$B$9)*E7,0))</f>
        <v>80940</v>
      </c>
      <c r="G7" s="32" t="n">
        <f aca="false">F7*02_Premissas!$B$8</f>
        <v>971280</v>
      </c>
      <c r="H7" s="32" t="n">
        <f aca="false">IFERROR(INDEX(03_Baseline_Rotas!$G$23:$G$34,MATCH(A7,03_Baseline_Rotas!$A$6:$A$17,0)),0)</f>
        <v>85700</v>
      </c>
      <c r="I7" s="32" t="n">
        <f aca="false">IF(D7&lt;&gt;"OK","",F7-H7)</f>
        <v>-4760</v>
      </c>
      <c r="J7" s="42" t="n">
        <f aca="false">IF(OR(D7&lt;&gt;"OK",H7=0),"",(F7-H7)/H7)</f>
        <v>-0.0555425904317386</v>
      </c>
      <c r="K7" s="31" t="n">
        <f aca="false">05_Propostas!H7</f>
        <v>10</v>
      </c>
      <c r="L7" s="42" t="n">
        <f aca="false">05_Propostas!I7</f>
        <v>0.92</v>
      </c>
      <c r="M7" s="43" t="str">
        <f aca="false">IF(D7&lt;&gt;"OK","",IF(E7&lt;02_Premissas!$B$16*INDEX(03_Baseline_Rotas!$K$6:$K$17,MATCH(A7,03_Baseline_Rotas!$A$6:$A$17,0)),"DUMP","OK"))</f>
        <v>OK</v>
      </c>
      <c r="N7" s="44" t="str">
        <f aca="false">IF(OR(D7&lt;&gt;"OK",F7=0),"",IF(ABS(F7-MIN(IF(D7="OK",F7,9900000000),IF(D19="OK",F19,9900000000),IF(D31="OK",F31,9900000000),IF(D43="OK",F43,9900000000)))&lt;0.51,"MELHOR",""))</f>
        <v/>
      </c>
    </row>
    <row r="8" customFormat="false" ht="15" hidden="false" customHeight="true" outlineLevel="0" collapsed="false">
      <c r="A8" s="30" t="str">
        <f aca="false">05_Propostas!A8</f>
        <v>L03</v>
      </c>
      <c r="B8" s="30" t="str">
        <f aca="false">05_Propostas!B8</f>
        <v>TR01</v>
      </c>
      <c r="C8" s="30" t="str">
        <f aca="false">05_Propostas!C8</f>
        <v>TransLeste</v>
      </c>
      <c r="D8" s="30" t="str">
        <f aca="false">05_Propostas!M8</f>
        <v>OK</v>
      </c>
      <c r="E8" s="33" t="n">
        <f aca="false">05_Propostas!E8</f>
        <v>0.26</v>
      </c>
      <c r="F8" s="32" t="n">
        <f aca="false">IF(D8&lt;&gt;"OK",0,MAX(INDEX(03_Baseline_Rotas!$G$6:$G$17,MATCH(A8,03_Baseline_Rotas!$A$6:$A$17,0)),INDEX(03_Baseline_Rotas!$H$6:$H$17,MATCH(A8,03_Baseline_Rotas!$A$6:$A$17,0))*02_Premissas!$B$9)*E8+INDEX(03_Baseline_Rotas!$I$6:$I$17,MATCH(A8,03_Baseline_Rotas!$A$6:$A$17,0))*05_Propostas!F8+INDEX(03_Baseline_Rotas!$J$6:$J$17,MATCH(A8,03_Baseline_Rotas!$A$6:$A$17,0))*(IF(05_Propostas!J8="",02_Premissas!$B$10,05_Propostas!J8))+IF(MAX(INDEX(03_Baseline_Rotas!$G$6:$G$17,MATCH(A8,03_Baseline_Rotas!$A$6:$A$17,0)),INDEX(03_Baseline_Rotas!$H$6:$H$17,MATCH(A8,03_Baseline_Rotas!$A$6:$A$17,0))*02_Premissas!$B$9)*E8&lt;INDEX(03_Baseline_Rotas!$I$6:$I$17,MATCH(A8,03_Baseline_Rotas!$A$6:$A$17,0))*05_Propostas!G8,INDEX(03_Baseline_Rotas!$I$6:$I$17,MATCH(A8,03_Baseline_Rotas!$A$6:$A$17,0))*05_Propostas!G8-MAX(INDEX(03_Baseline_Rotas!$G$6:$G$17,MATCH(A8,03_Baseline_Rotas!$A$6:$A$17,0)),INDEX(03_Baseline_Rotas!$H$6:$H$17,MATCH(A8,03_Baseline_Rotas!$A$6:$A$17,0))*02_Premissas!$B$9)*E8,0))</f>
        <v>54930</v>
      </c>
      <c r="G8" s="32" t="n">
        <f aca="false">F8*02_Premissas!$B$8</f>
        <v>659160</v>
      </c>
      <c r="H8" s="32" t="n">
        <f aca="false">IFERROR(INDEX(03_Baseline_Rotas!$G$23:$G$34,MATCH(A8,03_Baseline_Rotas!$A$6:$A$17,0)),0)</f>
        <v>56730</v>
      </c>
      <c r="I8" s="32" t="n">
        <f aca="false">IF(D8&lt;&gt;"OK","",F8-H8)</f>
        <v>-1800</v>
      </c>
      <c r="J8" s="42" t="n">
        <f aca="false">IF(OR(D8&lt;&gt;"OK",H8=0),"",(F8-H8)/H8)</f>
        <v>-0.0317292437863564</v>
      </c>
      <c r="K8" s="31" t="n">
        <f aca="false">05_Propostas!H8</f>
        <v>9</v>
      </c>
      <c r="L8" s="42" t="n">
        <f aca="false">05_Propostas!I8</f>
        <v>0.93</v>
      </c>
      <c r="M8" s="43" t="str">
        <f aca="false">IF(D8&lt;&gt;"OK","",IF(E8&lt;02_Premissas!$B$16*INDEX(03_Baseline_Rotas!$K$6:$K$17,MATCH(A8,03_Baseline_Rotas!$A$6:$A$17,0)),"DUMP","OK"))</f>
        <v>OK</v>
      </c>
      <c r="N8" s="44" t="str">
        <f aca="false">IF(OR(D8&lt;&gt;"OK",F8=0),"",IF(ABS(F8-MIN(IF(D8="OK",F8,9900000000),IF(D20="OK",F20,9900000000),IF(D32="OK",F32,9900000000),IF(D44="OK",F44,9900000000)))&lt;0.51,"MELHOR",""))</f>
        <v/>
      </c>
    </row>
    <row r="9" customFormat="false" ht="15" hidden="false" customHeight="true" outlineLevel="0" collapsed="false">
      <c r="A9" s="30" t="str">
        <f aca="false">05_Propostas!A9</f>
        <v>L04</v>
      </c>
      <c r="B9" s="30" t="str">
        <f aca="false">05_Propostas!B9</f>
        <v>TR01</v>
      </c>
      <c r="C9" s="30" t="str">
        <f aca="false">05_Propostas!C9</f>
        <v>TransLeste</v>
      </c>
      <c r="D9" s="30" t="str">
        <f aca="false">05_Propostas!M9</f>
        <v>OK</v>
      </c>
      <c r="E9" s="33" t="n">
        <f aca="false">05_Propostas!E9</f>
        <v>0.4</v>
      </c>
      <c r="F9" s="32" t="n">
        <f aca="false">IF(D9&lt;&gt;"OK",0,MAX(INDEX(03_Baseline_Rotas!$G$6:$G$17,MATCH(A9,03_Baseline_Rotas!$A$6:$A$17,0)),INDEX(03_Baseline_Rotas!$H$6:$H$17,MATCH(A9,03_Baseline_Rotas!$A$6:$A$17,0))*02_Premissas!$B$9)*E9+INDEX(03_Baseline_Rotas!$I$6:$I$17,MATCH(A9,03_Baseline_Rotas!$A$6:$A$17,0))*05_Propostas!F9+INDEX(03_Baseline_Rotas!$J$6:$J$17,MATCH(A9,03_Baseline_Rotas!$A$6:$A$17,0))*(IF(05_Propostas!J9="",02_Premissas!$B$10,05_Propostas!J9))+IF(MAX(INDEX(03_Baseline_Rotas!$G$6:$G$17,MATCH(A9,03_Baseline_Rotas!$A$6:$A$17,0)),INDEX(03_Baseline_Rotas!$H$6:$H$17,MATCH(A9,03_Baseline_Rotas!$A$6:$A$17,0))*02_Premissas!$B$9)*E9&lt;INDEX(03_Baseline_Rotas!$I$6:$I$17,MATCH(A9,03_Baseline_Rotas!$A$6:$A$17,0))*05_Propostas!G9,INDEX(03_Baseline_Rotas!$I$6:$I$17,MATCH(A9,03_Baseline_Rotas!$A$6:$A$17,0))*05_Propostas!G9-MAX(INDEX(03_Baseline_Rotas!$G$6:$G$17,MATCH(A9,03_Baseline_Rotas!$A$6:$A$17,0)),INDEX(03_Baseline_Rotas!$H$6:$H$17,MATCH(A9,03_Baseline_Rotas!$A$6:$A$17,0))*02_Premissas!$B$9)*E9,0))</f>
        <v>64200</v>
      </c>
      <c r="G9" s="32" t="n">
        <f aca="false">F9*02_Premissas!$B$8</f>
        <v>770400</v>
      </c>
      <c r="H9" s="32" t="n">
        <f aca="false">IFERROR(INDEX(03_Baseline_Rotas!$G$23:$G$34,MATCH(A9,03_Baseline_Rotas!$A$6:$A$17,0)),0)</f>
        <v>67050</v>
      </c>
      <c r="I9" s="32" t="n">
        <f aca="false">IF(D9&lt;&gt;"OK","",F9-H9)</f>
        <v>-2850</v>
      </c>
      <c r="J9" s="42" t="n">
        <f aca="false">IF(OR(D9&lt;&gt;"OK",H9=0),"",(F9-H9)/H9)</f>
        <v>-0.0425055928411633</v>
      </c>
      <c r="K9" s="31" t="n">
        <f aca="false">05_Propostas!H9</f>
        <v>22</v>
      </c>
      <c r="L9" s="42" t="n">
        <f aca="false">05_Propostas!I9</f>
        <v>0.9</v>
      </c>
      <c r="M9" s="43" t="str">
        <f aca="false">IF(D9&lt;&gt;"OK","",IF(E9&lt;02_Premissas!$B$16*INDEX(03_Baseline_Rotas!$K$6:$K$17,MATCH(A9,03_Baseline_Rotas!$A$6:$A$17,0)),"DUMP","OK"))</f>
        <v>OK</v>
      </c>
      <c r="N9" s="44" t="str">
        <f aca="false">IF(OR(D9&lt;&gt;"OK",F9=0),"",IF(ABS(F9-MIN(IF(D9="OK",F9,9900000000),IF(D21="OK",F21,9900000000),IF(D33="OK",F33,9900000000),IF(D45="OK",F45,9900000000)))&lt;0.51,"MELHOR",""))</f>
        <v/>
      </c>
    </row>
    <row r="10" customFormat="false" ht="15" hidden="false" customHeight="true" outlineLevel="0" collapsed="false">
      <c r="A10" s="30" t="str">
        <f aca="false">05_Propostas!A10</f>
        <v>L05</v>
      </c>
      <c r="B10" s="30" t="str">
        <f aca="false">05_Propostas!B10</f>
        <v>TR01</v>
      </c>
      <c r="C10" s="30" t="str">
        <f aca="false">05_Propostas!C10</f>
        <v>TransLeste</v>
      </c>
      <c r="D10" s="30" t="str">
        <f aca="false">05_Propostas!M10</f>
        <v>OK</v>
      </c>
      <c r="E10" s="33" t="n">
        <f aca="false">05_Propostas!E10</f>
        <v>0.54</v>
      </c>
      <c r="F10" s="32" t="n">
        <f aca="false">IF(D10&lt;&gt;"OK",0,MAX(INDEX(03_Baseline_Rotas!$G$6:$G$17,MATCH(A10,03_Baseline_Rotas!$A$6:$A$17,0)),INDEX(03_Baseline_Rotas!$H$6:$H$17,MATCH(A10,03_Baseline_Rotas!$A$6:$A$17,0))*02_Premissas!$B$9)*E10+INDEX(03_Baseline_Rotas!$I$6:$I$17,MATCH(A10,03_Baseline_Rotas!$A$6:$A$17,0))*05_Propostas!F10+INDEX(03_Baseline_Rotas!$J$6:$J$17,MATCH(A10,03_Baseline_Rotas!$A$6:$A$17,0))*(IF(05_Propostas!J10="",02_Premissas!$B$10,05_Propostas!J10))+IF(MAX(INDEX(03_Baseline_Rotas!$G$6:$G$17,MATCH(A10,03_Baseline_Rotas!$A$6:$A$17,0)),INDEX(03_Baseline_Rotas!$H$6:$H$17,MATCH(A10,03_Baseline_Rotas!$A$6:$A$17,0))*02_Premissas!$B$9)*E10&lt;INDEX(03_Baseline_Rotas!$I$6:$I$17,MATCH(A10,03_Baseline_Rotas!$A$6:$A$17,0))*05_Propostas!G10,INDEX(03_Baseline_Rotas!$I$6:$I$17,MATCH(A10,03_Baseline_Rotas!$A$6:$A$17,0))*05_Propostas!G10-MAX(INDEX(03_Baseline_Rotas!$G$6:$G$17,MATCH(A10,03_Baseline_Rotas!$A$6:$A$17,0)),INDEX(03_Baseline_Rotas!$H$6:$H$17,MATCH(A10,03_Baseline_Rotas!$A$6:$A$17,0))*02_Premissas!$B$9)*E10,0))</f>
        <v>62790</v>
      </c>
      <c r="G10" s="32" t="n">
        <f aca="false">F10*02_Premissas!$B$8</f>
        <v>753480</v>
      </c>
      <c r="H10" s="32" t="n">
        <f aca="false">IFERROR(INDEX(03_Baseline_Rotas!$G$23:$G$34,MATCH(A10,03_Baseline_Rotas!$A$6:$A$17,0)),0)</f>
        <v>66770</v>
      </c>
      <c r="I10" s="32" t="n">
        <f aca="false">IF(D10&lt;&gt;"OK","",F10-H10)</f>
        <v>-3980</v>
      </c>
      <c r="J10" s="42" t="n">
        <f aca="false">IF(OR(D10&lt;&gt;"OK",H10=0),"",(F10-H10)/H10)</f>
        <v>-0.0596076082072787</v>
      </c>
      <c r="K10" s="31" t="n">
        <f aca="false">05_Propostas!H10</f>
        <v>38</v>
      </c>
      <c r="L10" s="42" t="n">
        <f aca="false">05_Propostas!I10</f>
        <v>0.87</v>
      </c>
      <c r="M10" s="43" t="str">
        <f aca="false">IF(D10&lt;&gt;"OK","",IF(E10&lt;02_Premissas!$B$16*INDEX(03_Baseline_Rotas!$K$6:$K$17,MATCH(A10,03_Baseline_Rotas!$A$6:$A$17,0)),"DUMP","OK"))</f>
        <v>OK</v>
      </c>
      <c r="N10" s="44" t="str">
        <f aca="false">IF(OR(D10&lt;&gt;"OK",F10=0),"",IF(ABS(F10-MIN(IF(D10="OK",F10,9900000000),IF(D22="OK",F22,9900000000),IF(D34="OK",F34,9900000000),IF(D46="OK",F46,9900000000)))&lt;0.51,"MELHOR",""))</f>
        <v/>
      </c>
    </row>
    <row r="11" customFormat="false" ht="15" hidden="false" customHeight="true" outlineLevel="0" collapsed="false">
      <c r="A11" s="30" t="str">
        <f aca="false">05_Propostas!A11</f>
        <v>L06</v>
      </c>
      <c r="B11" s="30" t="str">
        <f aca="false">05_Propostas!B11</f>
        <v>TR01</v>
      </c>
      <c r="C11" s="30" t="str">
        <f aca="false">05_Propostas!C11</f>
        <v>TransLeste</v>
      </c>
      <c r="D11" s="30" t="str">
        <f aca="false">05_Propostas!M11</f>
        <v>OK</v>
      </c>
      <c r="E11" s="33" t="n">
        <f aca="false">05_Propostas!E11</f>
        <v>0.72</v>
      </c>
      <c r="F11" s="32" t="n">
        <f aca="false">IF(D11&lt;&gt;"OK",0,MAX(INDEX(03_Baseline_Rotas!$G$6:$G$17,MATCH(A11,03_Baseline_Rotas!$A$6:$A$17,0)),INDEX(03_Baseline_Rotas!$H$6:$H$17,MATCH(A11,03_Baseline_Rotas!$A$6:$A$17,0))*02_Premissas!$B$9)*E11+INDEX(03_Baseline_Rotas!$I$6:$I$17,MATCH(A11,03_Baseline_Rotas!$A$6:$A$17,0))*05_Propostas!F11+INDEX(03_Baseline_Rotas!$J$6:$J$17,MATCH(A11,03_Baseline_Rotas!$A$6:$A$17,0))*(IF(05_Propostas!J11="",02_Premissas!$B$10,05_Propostas!J11))+IF(MAX(INDEX(03_Baseline_Rotas!$G$6:$G$17,MATCH(A11,03_Baseline_Rotas!$A$6:$A$17,0)),INDEX(03_Baseline_Rotas!$H$6:$H$17,MATCH(A11,03_Baseline_Rotas!$A$6:$A$17,0))*02_Premissas!$B$9)*E11&lt;INDEX(03_Baseline_Rotas!$I$6:$I$17,MATCH(A11,03_Baseline_Rotas!$A$6:$A$17,0))*05_Propostas!G11,INDEX(03_Baseline_Rotas!$I$6:$I$17,MATCH(A11,03_Baseline_Rotas!$A$6:$A$17,0))*05_Propostas!G11-MAX(INDEX(03_Baseline_Rotas!$G$6:$G$17,MATCH(A11,03_Baseline_Rotas!$A$6:$A$17,0)),INDEX(03_Baseline_Rotas!$H$6:$H$17,MATCH(A11,03_Baseline_Rotas!$A$6:$A$17,0))*02_Premissas!$B$9)*E11,0))</f>
        <v>51950</v>
      </c>
      <c r="G11" s="32" t="n">
        <f aca="false">F11*02_Premissas!$B$8</f>
        <v>623400</v>
      </c>
      <c r="H11" s="32" t="n">
        <f aca="false">IFERROR(INDEX(03_Baseline_Rotas!$G$23:$G$34,MATCH(A11,03_Baseline_Rotas!$A$6:$A$17,0)),0)</f>
        <v>56350</v>
      </c>
      <c r="I11" s="32" t="n">
        <f aca="false">IF(D11&lt;&gt;"OK","",F11-H11)</f>
        <v>-4400</v>
      </c>
      <c r="J11" s="42" t="n">
        <f aca="false">IF(OR(D11&lt;&gt;"OK",H11=0),"",(F11-H11)/H11)</f>
        <v>-0.0780834072759539</v>
      </c>
      <c r="K11" s="31" t="n">
        <f aca="false">05_Propostas!H11</f>
        <v>62</v>
      </c>
      <c r="L11" s="42" t="n">
        <f aca="false">05_Propostas!I11</f>
        <v>0.84</v>
      </c>
      <c r="M11" s="43" t="str">
        <f aca="false">IF(D11&lt;&gt;"OK","",IF(E11&lt;02_Premissas!$B$16*INDEX(03_Baseline_Rotas!$K$6:$K$17,MATCH(A11,03_Baseline_Rotas!$A$6:$A$17,0)),"DUMP","OK"))</f>
        <v>OK</v>
      </c>
      <c r="N11" s="44" t="str">
        <f aca="false">IF(OR(D11&lt;&gt;"OK",F11=0),"",IF(ABS(F11-MIN(IF(D11="OK",F11,9900000000),IF(D23="OK",F23,9900000000),IF(D35="OK",F35,9900000000),IF(D47="OK",F47,9900000000)))&lt;0.51,"MELHOR",""))</f>
        <v/>
      </c>
    </row>
    <row r="12" customFormat="false" ht="15" hidden="false" customHeight="true" outlineLevel="0" collapsed="false">
      <c r="A12" s="30" t="str">
        <f aca="false">05_Propostas!A12</f>
        <v>L07</v>
      </c>
      <c r="B12" s="30" t="str">
        <f aca="false">05_Propostas!B12</f>
        <v>TR01</v>
      </c>
      <c r="C12" s="30" t="str">
        <f aca="false">05_Propostas!C12</f>
        <v>TransLeste</v>
      </c>
      <c r="D12" s="30" t="str">
        <f aca="false">05_Propostas!M12</f>
        <v>OK</v>
      </c>
      <c r="E12" s="33" t="n">
        <f aca="false">05_Propostas!E12</f>
        <v>0.43</v>
      </c>
      <c r="F12" s="32" t="n">
        <f aca="false">IF(D12&lt;&gt;"OK",0,MAX(INDEX(03_Baseline_Rotas!$G$6:$G$17,MATCH(A12,03_Baseline_Rotas!$A$6:$A$17,0)),INDEX(03_Baseline_Rotas!$H$6:$H$17,MATCH(A12,03_Baseline_Rotas!$A$6:$A$17,0))*02_Premissas!$B$9)*E12+INDEX(03_Baseline_Rotas!$I$6:$I$17,MATCH(A12,03_Baseline_Rotas!$A$6:$A$17,0))*05_Propostas!F12+INDEX(03_Baseline_Rotas!$J$6:$J$17,MATCH(A12,03_Baseline_Rotas!$A$6:$A$17,0))*(IF(05_Propostas!J12="",02_Premissas!$B$10,05_Propostas!J12))+IF(MAX(INDEX(03_Baseline_Rotas!$G$6:$G$17,MATCH(A12,03_Baseline_Rotas!$A$6:$A$17,0)),INDEX(03_Baseline_Rotas!$H$6:$H$17,MATCH(A12,03_Baseline_Rotas!$A$6:$A$17,0))*02_Premissas!$B$9)*E12&lt;INDEX(03_Baseline_Rotas!$I$6:$I$17,MATCH(A12,03_Baseline_Rotas!$A$6:$A$17,0))*05_Propostas!G12,INDEX(03_Baseline_Rotas!$I$6:$I$17,MATCH(A12,03_Baseline_Rotas!$A$6:$A$17,0))*05_Propostas!G12-MAX(INDEX(03_Baseline_Rotas!$G$6:$G$17,MATCH(A12,03_Baseline_Rotas!$A$6:$A$17,0)),INDEX(03_Baseline_Rotas!$H$6:$H$17,MATCH(A12,03_Baseline_Rotas!$A$6:$A$17,0))*02_Premissas!$B$9)*E12,0))</f>
        <v>29760</v>
      </c>
      <c r="G12" s="32" t="n">
        <f aca="false">F12*02_Premissas!$B$8</f>
        <v>357120</v>
      </c>
      <c r="H12" s="32" t="n">
        <f aca="false">IFERROR(INDEX(03_Baseline_Rotas!$G$23:$G$34,MATCH(A12,03_Baseline_Rotas!$A$6:$A$17,0)),0)</f>
        <v>31080</v>
      </c>
      <c r="I12" s="32" t="n">
        <f aca="false">IF(D12&lt;&gt;"OK","",F12-H12)</f>
        <v>-1320</v>
      </c>
      <c r="J12" s="42" t="n">
        <f aca="false">IF(OR(D12&lt;&gt;"OK",H12=0),"",(F12-H12)/H12)</f>
        <v>-0.0424710424710425</v>
      </c>
      <c r="K12" s="31" t="n">
        <f aca="false">05_Propostas!H12</f>
        <v>8</v>
      </c>
      <c r="L12" s="42" t="n">
        <f aca="false">05_Propostas!I12</f>
        <v>0.91</v>
      </c>
      <c r="M12" s="43" t="str">
        <f aca="false">IF(D12&lt;&gt;"OK","",IF(E12&lt;02_Premissas!$B$16*INDEX(03_Baseline_Rotas!$K$6:$K$17,MATCH(A12,03_Baseline_Rotas!$A$6:$A$17,0)),"DUMP","OK"))</f>
        <v>OK</v>
      </c>
      <c r="N12" s="44" t="str">
        <f aca="false">IF(OR(D12&lt;&gt;"OK",F12=0),"",IF(ABS(F12-MIN(IF(D12="OK",F12,9900000000),IF(D24="OK",F24,9900000000),IF(D36="OK",F36,9900000000),IF(D48="OK",F48,9900000000)))&lt;0.51,"MELHOR",""))</f>
        <v/>
      </c>
    </row>
    <row r="13" customFormat="false" ht="15" hidden="false" customHeight="true" outlineLevel="0" collapsed="false">
      <c r="A13" s="30" t="str">
        <f aca="false">05_Propostas!A13</f>
        <v>L08</v>
      </c>
      <c r="B13" s="30" t="str">
        <f aca="false">05_Propostas!B13</f>
        <v>TR01</v>
      </c>
      <c r="C13" s="30" t="str">
        <f aca="false">05_Propostas!C13</f>
        <v>TransLeste</v>
      </c>
      <c r="D13" s="30" t="str">
        <f aca="false">05_Propostas!M13</f>
        <v>OK</v>
      </c>
      <c r="E13" s="33" t="n">
        <f aca="false">05_Propostas!E13</f>
        <v>0.395</v>
      </c>
      <c r="F13" s="32" t="n">
        <f aca="false">IF(D13&lt;&gt;"OK",0,MAX(INDEX(03_Baseline_Rotas!$G$6:$G$17,MATCH(A13,03_Baseline_Rotas!$A$6:$A$17,0)),INDEX(03_Baseline_Rotas!$H$6:$H$17,MATCH(A13,03_Baseline_Rotas!$A$6:$A$17,0))*02_Premissas!$B$9)*E13+INDEX(03_Baseline_Rotas!$I$6:$I$17,MATCH(A13,03_Baseline_Rotas!$A$6:$A$17,0))*05_Propostas!F13+INDEX(03_Baseline_Rotas!$J$6:$J$17,MATCH(A13,03_Baseline_Rotas!$A$6:$A$17,0))*(IF(05_Propostas!J13="",02_Premissas!$B$10,05_Propostas!J13))+IF(MAX(INDEX(03_Baseline_Rotas!$G$6:$G$17,MATCH(A13,03_Baseline_Rotas!$A$6:$A$17,0)),INDEX(03_Baseline_Rotas!$H$6:$H$17,MATCH(A13,03_Baseline_Rotas!$A$6:$A$17,0))*02_Premissas!$B$9)*E13&lt;INDEX(03_Baseline_Rotas!$I$6:$I$17,MATCH(A13,03_Baseline_Rotas!$A$6:$A$17,0))*05_Propostas!G13,INDEX(03_Baseline_Rotas!$I$6:$I$17,MATCH(A13,03_Baseline_Rotas!$A$6:$A$17,0))*05_Propostas!G13-MAX(INDEX(03_Baseline_Rotas!$G$6:$G$17,MATCH(A13,03_Baseline_Rotas!$A$6:$A$17,0)),INDEX(03_Baseline_Rotas!$H$6:$H$17,MATCH(A13,03_Baseline_Rotas!$A$6:$A$17,0))*02_Premissas!$B$9)*E13,0))</f>
        <v>39810</v>
      </c>
      <c r="G13" s="32" t="n">
        <f aca="false">F13*02_Premissas!$B$8</f>
        <v>477720</v>
      </c>
      <c r="H13" s="32" t="n">
        <f aca="false">IFERROR(INDEX(03_Baseline_Rotas!$G$23:$G$34,MATCH(A13,03_Baseline_Rotas!$A$6:$A$17,0)),0)</f>
        <v>41280</v>
      </c>
      <c r="I13" s="32" t="n">
        <f aca="false">IF(D13&lt;&gt;"OK","",F13-H13)</f>
        <v>-1470</v>
      </c>
      <c r="J13" s="42" t="n">
        <f aca="false">IF(OR(D13&lt;&gt;"OK",H13=0),"",(F13-H13)/H13)</f>
        <v>-0.0356104651162791</v>
      </c>
      <c r="K13" s="31" t="n">
        <f aca="false">05_Propostas!H13</f>
        <v>16</v>
      </c>
      <c r="L13" s="42" t="n">
        <f aca="false">05_Propostas!I13</f>
        <v>0.9</v>
      </c>
      <c r="M13" s="43" t="str">
        <f aca="false">IF(D13&lt;&gt;"OK","",IF(E13&lt;02_Premissas!$B$16*INDEX(03_Baseline_Rotas!$K$6:$K$17,MATCH(A13,03_Baseline_Rotas!$A$6:$A$17,0)),"DUMP","OK"))</f>
        <v>OK</v>
      </c>
      <c r="N13" s="44" t="str">
        <f aca="false">IF(OR(D13&lt;&gt;"OK",F13=0),"",IF(ABS(F13-MIN(IF(D13="OK",F13,9900000000),IF(D25="OK",F25,9900000000),IF(D37="OK",F37,9900000000),IF(D49="OK",F49,9900000000)))&lt;0.51,"MELHOR",""))</f>
        <v/>
      </c>
    </row>
    <row r="14" customFormat="false" ht="15" hidden="false" customHeight="true" outlineLevel="0" collapsed="false">
      <c r="A14" s="30" t="str">
        <f aca="false">05_Propostas!A14</f>
        <v>L09</v>
      </c>
      <c r="B14" s="30" t="str">
        <f aca="false">05_Propostas!B14</f>
        <v>TR01</v>
      </c>
      <c r="C14" s="30" t="str">
        <f aca="false">05_Propostas!C14</f>
        <v>TransLeste</v>
      </c>
      <c r="D14" s="30" t="str">
        <f aca="false">05_Propostas!M14</f>
        <v>OK</v>
      </c>
      <c r="E14" s="33" t="n">
        <f aca="false">05_Propostas!E14</f>
        <v>2.1</v>
      </c>
      <c r="F14" s="32" t="n">
        <f aca="false">IF(D14&lt;&gt;"OK",0,MAX(INDEX(03_Baseline_Rotas!$G$6:$G$17,MATCH(A14,03_Baseline_Rotas!$A$6:$A$17,0)),INDEX(03_Baseline_Rotas!$H$6:$H$17,MATCH(A14,03_Baseline_Rotas!$A$6:$A$17,0))*02_Premissas!$B$9)*E14+INDEX(03_Baseline_Rotas!$I$6:$I$17,MATCH(A14,03_Baseline_Rotas!$A$6:$A$17,0))*05_Propostas!F14+INDEX(03_Baseline_Rotas!$J$6:$J$17,MATCH(A14,03_Baseline_Rotas!$A$6:$A$17,0))*(IF(05_Propostas!J14="",02_Premissas!$B$10,05_Propostas!J14))+IF(MAX(INDEX(03_Baseline_Rotas!$G$6:$G$17,MATCH(A14,03_Baseline_Rotas!$A$6:$A$17,0)),INDEX(03_Baseline_Rotas!$H$6:$H$17,MATCH(A14,03_Baseline_Rotas!$A$6:$A$17,0))*02_Premissas!$B$9)*E14&lt;INDEX(03_Baseline_Rotas!$I$6:$I$17,MATCH(A14,03_Baseline_Rotas!$A$6:$A$17,0))*05_Propostas!G14,INDEX(03_Baseline_Rotas!$I$6:$I$17,MATCH(A14,03_Baseline_Rotas!$A$6:$A$17,0))*05_Propostas!G14-MAX(INDEX(03_Baseline_Rotas!$G$6:$G$17,MATCH(A14,03_Baseline_Rotas!$A$6:$A$17,0)),INDEX(03_Baseline_Rotas!$H$6:$H$17,MATCH(A14,03_Baseline_Rotas!$A$6:$A$17,0))*02_Premissas!$B$9)*E14,0))</f>
        <v>138600</v>
      </c>
      <c r="G14" s="32" t="n">
        <f aca="false">F14*02_Premissas!$B$8</f>
        <v>1663200</v>
      </c>
      <c r="H14" s="32" t="n">
        <f aca="false">IFERROR(INDEX(03_Baseline_Rotas!$G$23:$G$34,MATCH(A14,03_Baseline_Rotas!$A$6:$A$17,0)),0)</f>
        <v>122850</v>
      </c>
      <c r="I14" s="32" t="n">
        <f aca="false">IF(D14&lt;&gt;"OK","",F14-H14)</f>
        <v>15750</v>
      </c>
      <c r="J14" s="42" t="n">
        <f aca="false">IF(OR(D14&lt;&gt;"OK",H14=0),"",(F14-H14)/H14)</f>
        <v>0.128205128205128</v>
      </c>
      <c r="K14" s="31" t="n">
        <f aca="false">05_Propostas!H14</f>
        <v>28</v>
      </c>
      <c r="L14" s="42" t="n">
        <f aca="false">05_Propostas!I14</f>
        <v>0.82</v>
      </c>
      <c r="M14" s="43" t="str">
        <f aca="false">IF(D14&lt;&gt;"OK","",IF(E14&lt;02_Premissas!$B$16*INDEX(03_Baseline_Rotas!$K$6:$K$17,MATCH(A14,03_Baseline_Rotas!$A$6:$A$17,0)),"DUMP","OK"))</f>
        <v>OK</v>
      </c>
      <c r="N14" s="44" t="str">
        <f aca="false">IF(OR(D14&lt;&gt;"OK",F14=0),"",IF(ABS(F14-MIN(IF(D14="OK",F14,9900000000),IF(D26="OK",F26,9900000000),IF(D38="OK",F38,9900000000),IF(D50="OK",F50,9900000000)))&lt;0.51,"MELHOR",""))</f>
        <v/>
      </c>
    </row>
    <row r="15" customFormat="false" ht="15" hidden="false" customHeight="true" outlineLevel="0" collapsed="false">
      <c r="A15" s="30" t="str">
        <f aca="false">05_Propostas!A15</f>
        <v>L10</v>
      </c>
      <c r="B15" s="30" t="str">
        <f aca="false">05_Propostas!B15</f>
        <v>TR01</v>
      </c>
      <c r="C15" s="30" t="str">
        <f aca="false">05_Propostas!C15</f>
        <v>TransLeste</v>
      </c>
      <c r="D15" s="30" t="str">
        <f aca="false">05_Propostas!M15</f>
        <v>OK</v>
      </c>
      <c r="E15" s="33" t="n">
        <f aca="false">05_Propostas!E15</f>
        <v>1.9</v>
      </c>
      <c r="F15" s="32" t="n">
        <f aca="false">IF(D15&lt;&gt;"OK",0,MAX(INDEX(03_Baseline_Rotas!$G$6:$G$17,MATCH(A15,03_Baseline_Rotas!$A$6:$A$17,0)),INDEX(03_Baseline_Rotas!$H$6:$H$17,MATCH(A15,03_Baseline_Rotas!$A$6:$A$17,0))*02_Premissas!$B$9)*E15+INDEX(03_Baseline_Rotas!$I$6:$I$17,MATCH(A15,03_Baseline_Rotas!$A$6:$A$17,0))*05_Propostas!F15+INDEX(03_Baseline_Rotas!$J$6:$J$17,MATCH(A15,03_Baseline_Rotas!$A$6:$A$17,0))*(IF(05_Propostas!J15="",02_Premissas!$B$10,05_Propostas!J15))+IF(MAX(INDEX(03_Baseline_Rotas!$G$6:$G$17,MATCH(A15,03_Baseline_Rotas!$A$6:$A$17,0)),INDEX(03_Baseline_Rotas!$H$6:$H$17,MATCH(A15,03_Baseline_Rotas!$A$6:$A$17,0))*02_Premissas!$B$9)*E15&lt;INDEX(03_Baseline_Rotas!$I$6:$I$17,MATCH(A15,03_Baseline_Rotas!$A$6:$A$17,0))*05_Propostas!G15,INDEX(03_Baseline_Rotas!$I$6:$I$17,MATCH(A15,03_Baseline_Rotas!$A$6:$A$17,0))*05_Propostas!G15-MAX(INDEX(03_Baseline_Rotas!$G$6:$G$17,MATCH(A15,03_Baseline_Rotas!$A$6:$A$17,0)),INDEX(03_Baseline_Rotas!$H$6:$H$17,MATCH(A15,03_Baseline_Rotas!$A$6:$A$17,0))*02_Premissas!$B$9)*E15,0))</f>
        <v>71250</v>
      </c>
      <c r="G15" s="32" t="n">
        <f aca="false">F15*02_Premissas!$B$8</f>
        <v>855000</v>
      </c>
      <c r="H15" s="32" t="n">
        <f aca="false">IFERROR(INDEX(03_Baseline_Rotas!$G$23:$G$34,MATCH(A15,03_Baseline_Rotas!$A$6:$A$17,0)),0)</f>
        <v>61170</v>
      </c>
      <c r="I15" s="32" t="n">
        <f aca="false">IF(D15&lt;&gt;"OK","",F15-H15)</f>
        <v>10080</v>
      </c>
      <c r="J15" s="42" t="n">
        <f aca="false">IF(OR(D15&lt;&gt;"OK",H15=0),"",(F15-H15)/H15)</f>
        <v>0.164786660127513</v>
      </c>
      <c r="K15" s="31" t="n">
        <f aca="false">05_Propostas!H15</f>
        <v>28</v>
      </c>
      <c r="L15" s="42" t="n">
        <f aca="false">05_Propostas!I15</f>
        <v>0.83</v>
      </c>
      <c r="M15" s="43" t="str">
        <f aca="false">IF(D15&lt;&gt;"OK","",IF(E15&lt;02_Premissas!$B$16*INDEX(03_Baseline_Rotas!$K$6:$K$17,MATCH(A15,03_Baseline_Rotas!$A$6:$A$17,0)),"DUMP","OK"))</f>
        <v>OK</v>
      </c>
      <c r="N15" s="44" t="str">
        <f aca="false">IF(OR(D15&lt;&gt;"OK",F15=0),"",IF(ABS(F15-MIN(IF(D15="OK",F15,9900000000),IF(D27="OK",F27,9900000000),IF(D39="OK",F39,9900000000),IF(D51="OK",F51,9900000000)))&lt;0.51,"MELHOR",""))</f>
        <v/>
      </c>
    </row>
    <row r="16" customFormat="false" ht="15" hidden="false" customHeight="true" outlineLevel="0" collapsed="false">
      <c r="A16" s="30" t="str">
        <f aca="false">05_Propostas!A16</f>
        <v>L11</v>
      </c>
      <c r="B16" s="30" t="str">
        <f aca="false">05_Propostas!B16</f>
        <v>TR01</v>
      </c>
      <c r="C16" s="30" t="str">
        <f aca="false">05_Propostas!C16</f>
        <v>TransLeste</v>
      </c>
      <c r="D16" s="30" t="str">
        <f aca="false">05_Propostas!M16</f>
        <v>OK</v>
      </c>
      <c r="E16" s="33" t="n">
        <f aca="false">05_Propostas!E16</f>
        <v>0.455</v>
      </c>
      <c r="F16" s="32" t="n">
        <f aca="false">IF(D16&lt;&gt;"OK",0,MAX(INDEX(03_Baseline_Rotas!$G$6:$G$17,MATCH(A16,03_Baseline_Rotas!$A$6:$A$17,0)),INDEX(03_Baseline_Rotas!$H$6:$H$17,MATCH(A16,03_Baseline_Rotas!$A$6:$A$17,0))*02_Premissas!$B$9)*E16+INDEX(03_Baseline_Rotas!$I$6:$I$17,MATCH(A16,03_Baseline_Rotas!$A$6:$A$17,0))*05_Propostas!F16+INDEX(03_Baseline_Rotas!$J$6:$J$17,MATCH(A16,03_Baseline_Rotas!$A$6:$A$17,0))*(IF(05_Propostas!J16="",02_Premissas!$B$10,05_Propostas!J16))+IF(MAX(INDEX(03_Baseline_Rotas!$G$6:$G$17,MATCH(A16,03_Baseline_Rotas!$A$6:$A$17,0)),INDEX(03_Baseline_Rotas!$H$6:$H$17,MATCH(A16,03_Baseline_Rotas!$A$6:$A$17,0))*02_Premissas!$B$9)*E16&lt;INDEX(03_Baseline_Rotas!$I$6:$I$17,MATCH(A16,03_Baseline_Rotas!$A$6:$A$17,0))*05_Propostas!G16,INDEX(03_Baseline_Rotas!$I$6:$I$17,MATCH(A16,03_Baseline_Rotas!$A$6:$A$17,0))*05_Propostas!G16-MAX(INDEX(03_Baseline_Rotas!$G$6:$G$17,MATCH(A16,03_Baseline_Rotas!$A$6:$A$17,0)),INDEX(03_Baseline_Rotas!$H$6:$H$17,MATCH(A16,03_Baseline_Rotas!$A$6:$A$17,0))*02_Premissas!$B$9)*E16,0))</f>
        <v>41745</v>
      </c>
      <c r="G16" s="32" t="n">
        <f aca="false">F16*02_Premissas!$B$8</f>
        <v>500940</v>
      </c>
      <c r="H16" s="32" t="n">
        <f aca="false">IFERROR(INDEX(03_Baseline_Rotas!$G$23:$G$34,MATCH(A16,03_Baseline_Rotas!$A$6:$A$17,0)),0)</f>
        <v>44490</v>
      </c>
      <c r="I16" s="32" t="n">
        <f aca="false">IF(D16&lt;&gt;"OK","",F16-H16)</f>
        <v>-2745</v>
      </c>
      <c r="J16" s="42" t="n">
        <f aca="false">IF(OR(D16&lt;&gt;"OK",H16=0),"",(F16-H16)/H16)</f>
        <v>-0.0616992582602832</v>
      </c>
      <c r="K16" s="31" t="n">
        <f aca="false">05_Propostas!H16</f>
        <v>18</v>
      </c>
      <c r="L16" s="42" t="n">
        <f aca="false">05_Propostas!I16</f>
        <v>0.91</v>
      </c>
      <c r="M16" s="43" t="str">
        <f aca="false">IF(D16&lt;&gt;"OK","",IF(E16&lt;02_Premissas!$B$16*INDEX(03_Baseline_Rotas!$K$6:$K$17,MATCH(A16,03_Baseline_Rotas!$A$6:$A$17,0)),"DUMP","OK"))</f>
        <v>OK</v>
      </c>
      <c r="N16" s="44" t="str">
        <f aca="false">IF(OR(D16&lt;&gt;"OK",F16=0),"",IF(ABS(F16-MIN(IF(D16="OK",F16,9900000000),IF(D28="OK",F28,9900000000),IF(D40="OK",F40,9900000000),IF(D52="OK",F52,9900000000)))&lt;0.51,"MELHOR",""))</f>
        <v/>
      </c>
    </row>
    <row r="17" customFormat="false" ht="15" hidden="false" customHeight="true" outlineLevel="0" collapsed="false">
      <c r="A17" s="30" t="str">
        <f aca="false">05_Propostas!A17</f>
        <v>L12</v>
      </c>
      <c r="B17" s="30" t="str">
        <f aca="false">05_Propostas!B17</f>
        <v>TR01</v>
      </c>
      <c r="C17" s="30" t="str">
        <f aca="false">05_Propostas!C17</f>
        <v>TransLeste</v>
      </c>
      <c r="D17" s="30" t="str">
        <f aca="false">05_Propostas!M17</f>
        <v>OK</v>
      </c>
      <c r="E17" s="33" t="n">
        <f aca="false">05_Propostas!E17</f>
        <v>0.43</v>
      </c>
      <c r="F17" s="32" t="n">
        <f aca="false">IF(D17&lt;&gt;"OK",0,MAX(INDEX(03_Baseline_Rotas!$G$6:$G$17,MATCH(A17,03_Baseline_Rotas!$A$6:$A$17,0)),INDEX(03_Baseline_Rotas!$H$6:$H$17,MATCH(A17,03_Baseline_Rotas!$A$6:$A$17,0))*02_Premissas!$B$9)*E17+INDEX(03_Baseline_Rotas!$I$6:$I$17,MATCH(A17,03_Baseline_Rotas!$A$6:$A$17,0))*05_Propostas!F17+INDEX(03_Baseline_Rotas!$J$6:$J$17,MATCH(A17,03_Baseline_Rotas!$A$6:$A$17,0))*(IF(05_Propostas!J17="",02_Premissas!$B$10,05_Propostas!J17))+IF(MAX(INDEX(03_Baseline_Rotas!$G$6:$G$17,MATCH(A17,03_Baseline_Rotas!$A$6:$A$17,0)),INDEX(03_Baseline_Rotas!$H$6:$H$17,MATCH(A17,03_Baseline_Rotas!$A$6:$A$17,0))*02_Premissas!$B$9)*E17&lt;INDEX(03_Baseline_Rotas!$I$6:$I$17,MATCH(A17,03_Baseline_Rotas!$A$6:$A$17,0))*05_Propostas!G17,INDEX(03_Baseline_Rotas!$I$6:$I$17,MATCH(A17,03_Baseline_Rotas!$A$6:$A$17,0))*05_Propostas!G17-MAX(INDEX(03_Baseline_Rotas!$G$6:$G$17,MATCH(A17,03_Baseline_Rotas!$A$6:$A$17,0)),INDEX(03_Baseline_Rotas!$H$6:$H$17,MATCH(A17,03_Baseline_Rotas!$A$6:$A$17,0))*02_Premissas!$B$9)*E17,0))</f>
        <v>26610</v>
      </c>
      <c r="G17" s="32" t="n">
        <f aca="false">F17*02_Premissas!$B$8</f>
        <v>319320</v>
      </c>
      <c r="H17" s="32" t="n">
        <f aca="false">IFERROR(INDEX(03_Baseline_Rotas!$G$23:$G$34,MATCH(A17,03_Baseline_Rotas!$A$6:$A$17,0)),0)</f>
        <v>28220</v>
      </c>
      <c r="I17" s="32" t="n">
        <f aca="false">IF(D17&lt;&gt;"OK","",F17-H17)</f>
        <v>-1610</v>
      </c>
      <c r="J17" s="42" t="n">
        <f aca="false">IF(OR(D17&lt;&gt;"OK",H17=0),"",(F17-H17)/H17)</f>
        <v>-0.0570517363571935</v>
      </c>
      <c r="K17" s="31" t="n">
        <f aca="false">05_Propostas!H17</f>
        <v>16</v>
      </c>
      <c r="L17" s="42" t="n">
        <f aca="false">05_Propostas!I17</f>
        <v>0.92</v>
      </c>
      <c r="M17" s="43" t="str">
        <f aca="false">IF(D17&lt;&gt;"OK","",IF(E17&lt;02_Premissas!$B$16*INDEX(03_Baseline_Rotas!$K$6:$K$17,MATCH(A17,03_Baseline_Rotas!$A$6:$A$17,0)),"DUMP","OK"))</f>
        <v>OK</v>
      </c>
      <c r="N17" s="44" t="str">
        <f aca="false">IF(OR(D17&lt;&gt;"OK",F17=0),"",IF(ABS(F17-MIN(IF(D17="OK",F17,9900000000),IF(D29="OK",F29,9900000000),IF(D41="OK",F41,9900000000),IF(D53="OK",F53,9900000000)))&lt;0.51,"MELHOR",""))</f>
        <v/>
      </c>
    </row>
    <row r="18" customFormat="false" ht="15" hidden="false" customHeight="true" outlineLevel="0" collapsed="false">
      <c r="A18" s="30" t="str">
        <f aca="false">05_Propostas!A18</f>
        <v>L01</v>
      </c>
      <c r="B18" s="30" t="str">
        <f aca="false">05_Propostas!B18</f>
        <v>TR02</v>
      </c>
      <c r="C18" s="30" t="str">
        <f aca="false">05_Propostas!C18</f>
        <v>RodoSul Log</v>
      </c>
      <c r="D18" s="30" t="str">
        <f aca="false">05_Propostas!M18</f>
        <v>OK</v>
      </c>
      <c r="E18" s="33" t="n">
        <f aca="false">05_Propostas!E18</f>
        <v>0.27</v>
      </c>
      <c r="F18" s="32" t="n">
        <f aca="false">IF(D18&lt;&gt;"OK",0,MAX(INDEX(03_Baseline_Rotas!$G$6:$G$17,MATCH(A18,03_Baseline_Rotas!$A$6:$A$17,0)),INDEX(03_Baseline_Rotas!$H$6:$H$17,MATCH(A18,03_Baseline_Rotas!$A$6:$A$17,0))*02_Premissas!$B$9)*E18+INDEX(03_Baseline_Rotas!$I$6:$I$17,MATCH(A18,03_Baseline_Rotas!$A$6:$A$17,0))*05_Propostas!F18+INDEX(03_Baseline_Rotas!$J$6:$J$17,MATCH(A18,03_Baseline_Rotas!$A$6:$A$17,0))*(IF(05_Propostas!J18="",02_Premissas!$B$10,05_Propostas!J18))+IF(MAX(INDEX(03_Baseline_Rotas!$G$6:$G$17,MATCH(A18,03_Baseline_Rotas!$A$6:$A$17,0)),INDEX(03_Baseline_Rotas!$H$6:$H$17,MATCH(A18,03_Baseline_Rotas!$A$6:$A$17,0))*02_Premissas!$B$9)*E18&lt;INDEX(03_Baseline_Rotas!$I$6:$I$17,MATCH(A18,03_Baseline_Rotas!$A$6:$A$17,0))*05_Propostas!G18,INDEX(03_Baseline_Rotas!$I$6:$I$17,MATCH(A18,03_Baseline_Rotas!$A$6:$A$17,0))*05_Propostas!G18-MAX(INDEX(03_Baseline_Rotas!$G$6:$G$17,MATCH(A18,03_Baseline_Rotas!$A$6:$A$17,0)),INDEX(03_Baseline_Rotas!$H$6:$H$17,MATCH(A18,03_Baseline_Rotas!$A$6:$A$17,0))*02_Premissas!$B$9)*E18,0))</f>
        <v>103100</v>
      </c>
      <c r="G18" s="32" t="n">
        <f aca="false">F18*02_Premissas!$B$8</f>
        <v>1237200</v>
      </c>
      <c r="H18" s="32" t="n">
        <f aca="false">IFERROR(INDEX(03_Baseline_Rotas!$G$23:$G$34,MATCH(A18,03_Baseline_Rotas!$A$6:$A$17,0)),0)</f>
        <v>106260</v>
      </c>
      <c r="I18" s="32" t="n">
        <f aca="false">IF(D18&lt;&gt;"OK","",F18-H18)</f>
        <v>-3160.00000000001</v>
      </c>
      <c r="J18" s="42" t="n">
        <f aca="false">IF(OR(D18&lt;&gt;"OK",H18=0),"",(F18-H18)/H18)</f>
        <v>-0.0297383775644647</v>
      </c>
      <c r="K18" s="31" t="n">
        <f aca="false">05_Propostas!H18</f>
        <v>11</v>
      </c>
      <c r="L18" s="42" t="n">
        <f aca="false">05_Propostas!I18</f>
        <v>0.95</v>
      </c>
      <c r="M18" s="43" t="str">
        <f aca="false">IF(D18&lt;&gt;"OK","",IF(E18&lt;02_Premissas!$B$16*INDEX(03_Baseline_Rotas!$K$6:$K$17,MATCH(A18,03_Baseline_Rotas!$A$6:$A$17,0)),"DUMP","OK"))</f>
        <v>OK</v>
      </c>
      <c r="N18" s="44" t="str">
        <f aca="false">IF(OR(D18&lt;&gt;"OK",F18=0),"",IF(ABS(F18-MIN(IF(D6="OK",F6,9900000000),IF(D18="OK",F18,9900000000),IF(D30="OK",F30,9900000000),IF(D42="OK",F42,9900000000)))&lt;0.51,"MELHOR",""))</f>
        <v/>
      </c>
    </row>
    <row r="19" customFormat="false" ht="15" hidden="false" customHeight="true" outlineLevel="0" collapsed="false">
      <c r="A19" s="30" t="str">
        <f aca="false">05_Propostas!A19</f>
        <v>L02</v>
      </c>
      <c r="B19" s="30" t="str">
        <f aca="false">05_Propostas!B19</f>
        <v>TR02</v>
      </c>
      <c r="C19" s="30" t="str">
        <f aca="false">05_Propostas!C19</f>
        <v>RodoSul Log</v>
      </c>
      <c r="D19" s="30" t="str">
        <f aca="false">05_Propostas!M19</f>
        <v>OK</v>
      </c>
      <c r="E19" s="33" t="n">
        <f aca="false">05_Propostas!E19</f>
        <v>0.285</v>
      </c>
      <c r="F19" s="32" t="n">
        <f aca="false">IF(D19&lt;&gt;"OK",0,MAX(INDEX(03_Baseline_Rotas!$G$6:$G$17,MATCH(A19,03_Baseline_Rotas!$A$6:$A$17,0)),INDEX(03_Baseline_Rotas!$H$6:$H$17,MATCH(A19,03_Baseline_Rotas!$A$6:$A$17,0))*02_Premissas!$B$9)*E19+INDEX(03_Baseline_Rotas!$I$6:$I$17,MATCH(A19,03_Baseline_Rotas!$A$6:$A$17,0))*05_Propostas!F19+INDEX(03_Baseline_Rotas!$J$6:$J$17,MATCH(A19,03_Baseline_Rotas!$A$6:$A$17,0))*(IF(05_Propostas!J19="",02_Premissas!$B$10,05_Propostas!J19))+IF(MAX(INDEX(03_Baseline_Rotas!$G$6:$G$17,MATCH(A19,03_Baseline_Rotas!$A$6:$A$17,0)),INDEX(03_Baseline_Rotas!$H$6:$H$17,MATCH(A19,03_Baseline_Rotas!$A$6:$A$17,0))*02_Premissas!$B$9)*E19&lt;INDEX(03_Baseline_Rotas!$I$6:$I$17,MATCH(A19,03_Baseline_Rotas!$A$6:$A$17,0))*05_Propostas!G19,INDEX(03_Baseline_Rotas!$I$6:$I$17,MATCH(A19,03_Baseline_Rotas!$A$6:$A$17,0))*05_Propostas!G19-MAX(INDEX(03_Baseline_Rotas!$G$6:$G$17,MATCH(A19,03_Baseline_Rotas!$A$6:$A$17,0)),INDEX(03_Baseline_Rotas!$H$6:$H$17,MATCH(A19,03_Baseline_Rotas!$A$6:$A$17,0))*02_Premissas!$B$9)*E19,0))</f>
        <v>79990</v>
      </c>
      <c r="G19" s="32" t="n">
        <f aca="false">F19*02_Premissas!$B$8</f>
        <v>959880</v>
      </c>
      <c r="H19" s="32" t="n">
        <f aca="false">IFERROR(INDEX(03_Baseline_Rotas!$G$23:$G$34,MATCH(A19,03_Baseline_Rotas!$A$6:$A$17,0)),0)</f>
        <v>85700</v>
      </c>
      <c r="I19" s="32" t="n">
        <f aca="false">IF(D19&lt;&gt;"OK","",F19-H19)</f>
        <v>-5710</v>
      </c>
      <c r="J19" s="42" t="n">
        <f aca="false">IF(OR(D19&lt;&gt;"OK",H19=0),"",(F19-H19)/H19)</f>
        <v>-0.0666277712952159</v>
      </c>
      <c r="K19" s="31" t="n">
        <f aca="false">05_Propostas!H19</f>
        <v>9</v>
      </c>
      <c r="L19" s="42" t="n">
        <f aca="false">05_Propostas!I19</f>
        <v>0.95</v>
      </c>
      <c r="M19" s="43" t="str">
        <f aca="false">IF(D19&lt;&gt;"OK","",IF(E19&lt;02_Premissas!$B$16*INDEX(03_Baseline_Rotas!$K$6:$K$17,MATCH(A19,03_Baseline_Rotas!$A$6:$A$17,0)),"DUMP","OK"))</f>
        <v>OK</v>
      </c>
      <c r="N19" s="44" t="str">
        <f aca="false">IF(OR(D19&lt;&gt;"OK",F19=0),"",IF(ABS(F19-MIN(IF(D7="OK",F7,9900000000),IF(D19="OK",F19,9900000000),IF(D31="OK",F31,9900000000),IF(D43="OK",F43,9900000000)))&lt;0.51,"MELHOR",""))</f>
        <v>MELHOR</v>
      </c>
    </row>
    <row r="20" customFormat="false" ht="15" hidden="false" customHeight="true" outlineLevel="0" collapsed="false">
      <c r="A20" s="30" t="str">
        <f aca="false">05_Propostas!A20</f>
        <v>L03</v>
      </c>
      <c r="B20" s="30" t="str">
        <f aca="false">05_Propostas!B20</f>
        <v>TR02</v>
      </c>
      <c r="C20" s="30" t="str">
        <f aca="false">05_Propostas!C20</f>
        <v>RodoSul Log</v>
      </c>
      <c r="D20" s="30" t="str">
        <f aca="false">05_Propostas!M20</f>
        <v>OK</v>
      </c>
      <c r="E20" s="33" t="n">
        <f aca="false">05_Propostas!E20</f>
        <v>0.24</v>
      </c>
      <c r="F20" s="32" t="n">
        <f aca="false">IF(D20&lt;&gt;"OK",0,MAX(INDEX(03_Baseline_Rotas!$G$6:$G$17,MATCH(A20,03_Baseline_Rotas!$A$6:$A$17,0)),INDEX(03_Baseline_Rotas!$H$6:$H$17,MATCH(A20,03_Baseline_Rotas!$A$6:$A$17,0))*02_Premissas!$B$9)*E20+INDEX(03_Baseline_Rotas!$I$6:$I$17,MATCH(A20,03_Baseline_Rotas!$A$6:$A$17,0))*05_Propostas!F20+INDEX(03_Baseline_Rotas!$J$6:$J$17,MATCH(A20,03_Baseline_Rotas!$A$6:$A$17,0))*(IF(05_Propostas!J20="",02_Premissas!$B$10,05_Propostas!J20))+IF(MAX(INDEX(03_Baseline_Rotas!$G$6:$G$17,MATCH(A20,03_Baseline_Rotas!$A$6:$A$17,0)),INDEX(03_Baseline_Rotas!$H$6:$H$17,MATCH(A20,03_Baseline_Rotas!$A$6:$A$17,0))*02_Premissas!$B$9)*E20&lt;INDEX(03_Baseline_Rotas!$I$6:$I$17,MATCH(A20,03_Baseline_Rotas!$A$6:$A$17,0))*05_Propostas!G20,INDEX(03_Baseline_Rotas!$I$6:$I$17,MATCH(A20,03_Baseline_Rotas!$A$6:$A$17,0))*05_Propostas!G20-MAX(INDEX(03_Baseline_Rotas!$G$6:$G$17,MATCH(A20,03_Baseline_Rotas!$A$6:$A$17,0)),INDEX(03_Baseline_Rotas!$H$6:$H$17,MATCH(A20,03_Baseline_Rotas!$A$6:$A$17,0))*02_Premissas!$B$9)*E20,0))</f>
        <v>51450</v>
      </c>
      <c r="G20" s="32" t="n">
        <f aca="false">F20*02_Premissas!$B$8</f>
        <v>617400</v>
      </c>
      <c r="H20" s="32" t="n">
        <f aca="false">IFERROR(INDEX(03_Baseline_Rotas!$G$23:$G$34,MATCH(A20,03_Baseline_Rotas!$A$6:$A$17,0)),0)</f>
        <v>56730</v>
      </c>
      <c r="I20" s="32" t="n">
        <f aca="false">IF(D20&lt;&gt;"OK","",F20-H20)</f>
        <v>-5280</v>
      </c>
      <c r="J20" s="42" t="n">
        <f aca="false">IF(OR(D20&lt;&gt;"OK",H20=0),"",(F20-H20)/H20)</f>
        <v>-0.0930724484399789</v>
      </c>
      <c r="K20" s="31" t="n">
        <f aca="false">05_Propostas!H20</f>
        <v>8</v>
      </c>
      <c r="L20" s="42" t="n">
        <f aca="false">05_Propostas!I20</f>
        <v>0.96</v>
      </c>
      <c r="M20" s="43" t="str">
        <f aca="false">IF(D20&lt;&gt;"OK","",IF(E20&lt;02_Premissas!$B$16*INDEX(03_Baseline_Rotas!$K$6:$K$17,MATCH(A20,03_Baseline_Rotas!$A$6:$A$17,0)),"DUMP","OK"))</f>
        <v>OK</v>
      </c>
      <c r="N20" s="44" t="str">
        <f aca="false">IF(OR(D20&lt;&gt;"OK",F20=0),"",IF(ABS(F20-MIN(IF(D8="OK",F8,9900000000),IF(D20="OK",F20,9900000000),IF(D32="OK",F32,9900000000),IF(D44="OK",F44,9900000000)))&lt;0.51,"MELHOR",""))</f>
        <v>MELHOR</v>
      </c>
    </row>
    <row r="21" customFormat="false" ht="15" hidden="false" customHeight="true" outlineLevel="0" collapsed="false">
      <c r="A21" s="30" t="str">
        <f aca="false">05_Propostas!A21</f>
        <v>L04</v>
      </c>
      <c r="B21" s="30" t="str">
        <f aca="false">05_Propostas!B21</f>
        <v>TR02</v>
      </c>
      <c r="C21" s="30" t="str">
        <f aca="false">05_Propostas!C21</f>
        <v>RodoSul Log</v>
      </c>
      <c r="D21" s="30" t="str">
        <f aca="false">05_Propostas!M21</f>
        <v>OK</v>
      </c>
      <c r="E21" s="33" t="n">
        <f aca="false">05_Propostas!E21</f>
        <v>0.365</v>
      </c>
      <c r="F21" s="32" t="n">
        <f aca="false">IF(D21&lt;&gt;"OK",0,MAX(INDEX(03_Baseline_Rotas!$G$6:$G$17,MATCH(A21,03_Baseline_Rotas!$A$6:$A$17,0)),INDEX(03_Baseline_Rotas!$H$6:$H$17,MATCH(A21,03_Baseline_Rotas!$A$6:$A$17,0))*02_Premissas!$B$9)*E21+INDEX(03_Baseline_Rotas!$I$6:$I$17,MATCH(A21,03_Baseline_Rotas!$A$6:$A$17,0))*05_Propostas!F21+INDEX(03_Baseline_Rotas!$J$6:$J$17,MATCH(A21,03_Baseline_Rotas!$A$6:$A$17,0))*(IF(05_Propostas!J21="",02_Premissas!$B$10,05_Propostas!J21))+IF(MAX(INDEX(03_Baseline_Rotas!$G$6:$G$17,MATCH(A21,03_Baseline_Rotas!$A$6:$A$17,0)),INDEX(03_Baseline_Rotas!$H$6:$H$17,MATCH(A21,03_Baseline_Rotas!$A$6:$A$17,0))*02_Premissas!$B$9)*E21&lt;INDEX(03_Baseline_Rotas!$I$6:$I$17,MATCH(A21,03_Baseline_Rotas!$A$6:$A$17,0))*05_Propostas!G21,INDEX(03_Baseline_Rotas!$I$6:$I$17,MATCH(A21,03_Baseline_Rotas!$A$6:$A$17,0))*05_Propostas!G21-MAX(INDEX(03_Baseline_Rotas!$G$6:$G$17,MATCH(A21,03_Baseline_Rotas!$A$6:$A$17,0)),INDEX(03_Baseline_Rotas!$H$6:$H$17,MATCH(A21,03_Baseline_Rotas!$A$6:$A$17,0))*02_Premissas!$B$9)*E21,0))</f>
        <v>59595</v>
      </c>
      <c r="G21" s="32" t="n">
        <f aca="false">F21*02_Premissas!$B$8</f>
        <v>715140</v>
      </c>
      <c r="H21" s="32" t="n">
        <f aca="false">IFERROR(INDEX(03_Baseline_Rotas!$G$23:$G$34,MATCH(A21,03_Baseline_Rotas!$A$6:$A$17,0)),0)</f>
        <v>67050</v>
      </c>
      <c r="I21" s="32" t="n">
        <f aca="false">IF(D21&lt;&gt;"OK","",F21-H21)</f>
        <v>-7455</v>
      </c>
      <c r="J21" s="42" t="n">
        <f aca="false">IF(OR(D21&lt;&gt;"OK",H21=0),"",(F21-H21)/H21)</f>
        <v>-0.111185682326622</v>
      </c>
      <c r="K21" s="31" t="n">
        <f aca="false">05_Propostas!H21</f>
        <v>18</v>
      </c>
      <c r="L21" s="42" t="n">
        <f aca="false">05_Propostas!I21</f>
        <v>0.94</v>
      </c>
      <c r="M21" s="43" t="str">
        <f aca="false">IF(D21&lt;&gt;"OK","",IF(E21&lt;02_Premissas!$B$16*INDEX(03_Baseline_Rotas!$K$6:$K$17,MATCH(A21,03_Baseline_Rotas!$A$6:$A$17,0)),"DUMP","OK"))</f>
        <v>OK</v>
      </c>
      <c r="N21" s="44" t="str">
        <f aca="false">IF(OR(D21&lt;&gt;"OK",F21=0),"",IF(ABS(F21-MIN(IF(D9="OK",F9,9900000000),IF(D21="OK",F21,9900000000),IF(D33="OK",F33,9900000000),IF(D45="OK",F45,9900000000)))&lt;0.51,"MELHOR",""))</f>
        <v>MELHOR</v>
      </c>
    </row>
    <row r="22" customFormat="false" ht="15" hidden="false" customHeight="true" outlineLevel="0" collapsed="false">
      <c r="A22" s="30" t="str">
        <f aca="false">05_Propostas!A22</f>
        <v>L05</v>
      </c>
      <c r="B22" s="30" t="str">
        <f aca="false">05_Propostas!B22</f>
        <v>TR02</v>
      </c>
      <c r="C22" s="30" t="str">
        <f aca="false">05_Propostas!C22</f>
        <v>RodoSul Log</v>
      </c>
      <c r="D22" s="30" t="str">
        <f aca="false">05_Propostas!M22</f>
        <v>OK</v>
      </c>
      <c r="E22" s="33" t="n">
        <f aca="false">05_Propostas!E22</f>
        <v>0.61</v>
      </c>
      <c r="F22" s="32" t="n">
        <f aca="false">IF(D22&lt;&gt;"OK",0,MAX(INDEX(03_Baseline_Rotas!$G$6:$G$17,MATCH(A22,03_Baseline_Rotas!$A$6:$A$17,0)),INDEX(03_Baseline_Rotas!$H$6:$H$17,MATCH(A22,03_Baseline_Rotas!$A$6:$A$17,0))*02_Premissas!$B$9)*E22+INDEX(03_Baseline_Rotas!$I$6:$I$17,MATCH(A22,03_Baseline_Rotas!$A$6:$A$17,0))*05_Propostas!F22+INDEX(03_Baseline_Rotas!$J$6:$J$17,MATCH(A22,03_Baseline_Rotas!$A$6:$A$17,0))*(IF(05_Propostas!J22="",02_Premissas!$B$10,05_Propostas!J22))+IF(MAX(INDEX(03_Baseline_Rotas!$G$6:$G$17,MATCH(A22,03_Baseline_Rotas!$A$6:$A$17,0)),INDEX(03_Baseline_Rotas!$H$6:$H$17,MATCH(A22,03_Baseline_Rotas!$A$6:$A$17,0))*02_Premissas!$B$9)*E22&lt;INDEX(03_Baseline_Rotas!$I$6:$I$17,MATCH(A22,03_Baseline_Rotas!$A$6:$A$17,0))*05_Propostas!G22,INDEX(03_Baseline_Rotas!$I$6:$I$17,MATCH(A22,03_Baseline_Rotas!$A$6:$A$17,0))*05_Propostas!G22-MAX(INDEX(03_Baseline_Rotas!$G$6:$G$17,MATCH(A22,03_Baseline_Rotas!$A$6:$A$17,0)),INDEX(03_Baseline_Rotas!$H$6:$H$17,MATCH(A22,03_Baseline_Rotas!$A$6:$A$17,0))*02_Premissas!$B$9)*E22,0))</f>
        <v>69790</v>
      </c>
      <c r="G22" s="32" t="n">
        <f aca="false">F22*02_Premissas!$B$8</f>
        <v>837480</v>
      </c>
      <c r="H22" s="32" t="n">
        <f aca="false">IFERROR(INDEX(03_Baseline_Rotas!$G$23:$G$34,MATCH(A22,03_Baseline_Rotas!$A$6:$A$17,0)),0)</f>
        <v>66770</v>
      </c>
      <c r="I22" s="32" t="n">
        <f aca="false">IF(D22&lt;&gt;"OK","",F22-H22)</f>
        <v>3020</v>
      </c>
      <c r="J22" s="42" t="n">
        <f aca="false">IF(OR(D22&lt;&gt;"OK",H22=0),"",(F22-H22)/H22)</f>
        <v>0.0452298936648195</v>
      </c>
      <c r="K22" s="31" t="n">
        <f aca="false">05_Propostas!H22</f>
        <v>40</v>
      </c>
      <c r="L22" s="42" t="n">
        <f aca="false">05_Propostas!I22</f>
        <v>0.86</v>
      </c>
      <c r="M22" s="43" t="str">
        <f aca="false">IF(D22&lt;&gt;"OK","",IF(E22&lt;02_Premissas!$B$16*INDEX(03_Baseline_Rotas!$K$6:$K$17,MATCH(A22,03_Baseline_Rotas!$A$6:$A$17,0)),"DUMP","OK"))</f>
        <v>OK</v>
      </c>
      <c r="N22" s="44" t="str">
        <f aca="false">IF(OR(D22&lt;&gt;"OK",F22=0),"",IF(ABS(F22-MIN(IF(D10="OK",F10,9900000000),IF(D22="OK",F22,9900000000),IF(D34="OK",F34,9900000000),IF(D46="OK",F46,9900000000)))&lt;0.51,"MELHOR",""))</f>
        <v/>
      </c>
    </row>
    <row r="23" customFormat="false" ht="15" hidden="false" customHeight="true" outlineLevel="0" collapsed="false">
      <c r="A23" s="30" t="str">
        <f aca="false">05_Propostas!A23</f>
        <v>L06</v>
      </c>
      <c r="B23" s="30" t="str">
        <f aca="false">05_Propostas!B23</f>
        <v>TR02</v>
      </c>
      <c r="C23" s="30" t="str">
        <f aca="false">05_Propostas!C23</f>
        <v>RodoSul Log</v>
      </c>
      <c r="D23" s="30" t="str">
        <f aca="false">05_Propostas!M23</f>
        <v>FORA_MALHA</v>
      </c>
      <c r="E23" s="33" t="n">
        <f aca="false">05_Propostas!E23</f>
        <v>0</v>
      </c>
      <c r="F23" s="32" t="n">
        <f aca="false">IF(D23&lt;&gt;"OK",0,MAX(INDEX(03_Baseline_Rotas!$G$6:$G$17,MATCH(A23,03_Baseline_Rotas!$A$6:$A$17,0)),INDEX(03_Baseline_Rotas!$H$6:$H$17,MATCH(A23,03_Baseline_Rotas!$A$6:$A$17,0))*02_Premissas!$B$9)*E23+INDEX(03_Baseline_Rotas!$I$6:$I$17,MATCH(A23,03_Baseline_Rotas!$A$6:$A$17,0))*05_Propostas!F23+INDEX(03_Baseline_Rotas!$J$6:$J$17,MATCH(A23,03_Baseline_Rotas!$A$6:$A$17,0))*(IF(05_Propostas!J23="",02_Premissas!$B$10,05_Propostas!J23))+IF(MAX(INDEX(03_Baseline_Rotas!$G$6:$G$17,MATCH(A23,03_Baseline_Rotas!$A$6:$A$17,0)),INDEX(03_Baseline_Rotas!$H$6:$H$17,MATCH(A23,03_Baseline_Rotas!$A$6:$A$17,0))*02_Premissas!$B$9)*E23&lt;INDEX(03_Baseline_Rotas!$I$6:$I$17,MATCH(A23,03_Baseline_Rotas!$A$6:$A$17,0))*05_Propostas!G23,INDEX(03_Baseline_Rotas!$I$6:$I$17,MATCH(A23,03_Baseline_Rotas!$A$6:$A$17,0))*05_Propostas!G23-MAX(INDEX(03_Baseline_Rotas!$G$6:$G$17,MATCH(A23,03_Baseline_Rotas!$A$6:$A$17,0)),INDEX(03_Baseline_Rotas!$H$6:$H$17,MATCH(A23,03_Baseline_Rotas!$A$6:$A$17,0))*02_Premissas!$B$9)*E23,0))</f>
        <v>0</v>
      </c>
      <c r="G23" s="32" t="n">
        <f aca="false">F23*02_Premissas!$B$8</f>
        <v>0</v>
      </c>
      <c r="H23" s="32" t="n">
        <f aca="false">IFERROR(INDEX(03_Baseline_Rotas!$G$23:$G$34,MATCH(A23,03_Baseline_Rotas!$A$6:$A$17,0)),0)</f>
        <v>56350</v>
      </c>
      <c r="I23" s="32" t="str">
        <f aca="false">IF(D23&lt;&gt;"OK","",F23-H23)</f>
        <v/>
      </c>
      <c r="J23" s="42" t="str">
        <f aca="false">IF(OR(D23&lt;&gt;"OK",H23=0),"",(F23-H23)/H23)</f>
        <v/>
      </c>
      <c r="K23" s="31" t="n">
        <f aca="false">05_Propostas!H23</f>
        <v>0</v>
      </c>
      <c r="L23" s="42" t="n">
        <f aca="false">05_Propostas!I23</f>
        <v>0</v>
      </c>
      <c r="M23" s="43" t="str">
        <f aca="false">IF(D23&lt;&gt;"OK","",IF(E23&lt;02_Premissas!$B$16*INDEX(03_Baseline_Rotas!$K$6:$K$17,MATCH(A23,03_Baseline_Rotas!$A$6:$A$17,0)),"DUMP","OK"))</f>
        <v/>
      </c>
      <c r="N23" s="44" t="str">
        <f aca="false">IF(OR(D23&lt;&gt;"OK",F23=0),"",IF(ABS(F23-MIN(IF(D11="OK",F11,9900000000),IF(D23="OK",F23,9900000000),IF(D35="OK",F35,9900000000),IF(D47="OK",F47,9900000000)))&lt;0.51,"MELHOR",""))</f>
        <v/>
      </c>
    </row>
    <row r="24" customFormat="false" ht="15" hidden="false" customHeight="true" outlineLevel="0" collapsed="false">
      <c r="A24" s="30" t="str">
        <f aca="false">05_Propostas!A24</f>
        <v>L07</v>
      </c>
      <c r="B24" s="30" t="str">
        <f aca="false">05_Propostas!B24</f>
        <v>TR02</v>
      </c>
      <c r="C24" s="30" t="str">
        <f aca="false">05_Propostas!C24</f>
        <v>RodoSul Log</v>
      </c>
      <c r="D24" s="30" t="str">
        <f aca="false">05_Propostas!M24</f>
        <v>OK</v>
      </c>
      <c r="E24" s="33" t="n">
        <f aca="false">05_Propostas!E24</f>
        <v>0.41</v>
      </c>
      <c r="F24" s="32" t="n">
        <f aca="false">IF(D24&lt;&gt;"OK",0,MAX(INDEX(03_Baseline_Rotas!$G$6:$G$17,MATCH(A24,03_Baseline_Rotas!$A$6:$A$17,0)),INDEX(03_Baseline_Rotas!$H$6:$H$17,MATCH(A24,03_Baseline_Rotas!$A$6:$A$17,0))*02_Premissas!$B$9)*E24+INDEX(03_Baseline_Rotas!$I$6:$I$17,MATCH(A24,03_Baseline_Rotas!$A$6:$A$17,0))*05_Propostas!F24+INDEX(03_Baseline_Rotas!$J$6:$J$17,MATCH(A24,03_Baseline_Rotas!$A$6:$A$17,0))*(IF(05_Propostas!J24="",02_Premissas!$B$10,05_Propostas!J24))+IF(MAX(INDEX(03_Baseline_Rotas!$G$6:$G$17,MATCH(A24,03_Baseline_Rotas!$A$6:$A$17,0)),INDEX(03_Baseline_Rotas!$H$6:$H$17,MATCH(A24,03_Baseline_Rotas!$A$6:$A$17,0))*02_Premissas!$B$9)*E24&lt;INDEX(03_Baseline_Rotas!$I$6:$I$17,MATCH(A24,03_Baseline_Rotas!$A$6:$A$17,0))*05_Propostas!G24,INDEX(03_Baseline_Rotas!$I$6:$I$17,MATCH(A24,03_Baseline_Rotas!$A$6:$A$17,0))*05_Propostas!G24-MAX(INDEX(03_Baseline_Rotas!$G$6:$G$17,MATCH(A24,03_Baseline_Rotas!$A$6:$A$17,0)),INDEX(03_Baseline_Rotas!$H$6:$H$17,MATCH(A24,03_Baseline_Rotas!$A$6:$A$17,0))*02_Premissas!$B$9)*E24,0))</f>
        <v>28680</v>
      </c>
      <c r="G24" s="32" t="n">
        <f aca="false">F24*02_Premissas!$B$8</f>
        <v>344160</v>
      </c>
      <c r="H24" s="32" t="n">
        <f aca="false">IFERROR(INDEX(03_Baseline_Rotas!$G$23:$G$34,MATCH(A24,03_Baseline_Rotas!$A$6:$A$17,0)),0)</f>
        <v>31080</v>
      </c>
      <c r="I24" s="32" t="n">
        <f aca="false">IF(D24&lt;&gt;"OK","",F24-H24)</f>
        <v>-2400</v>
      </c>
      <c r="J24" s="42" t="n">
        <f aca="false">IF(OR(D24&lt;&gt;"OK",H24=0),"",(F24-H24)/H24)</f>
        <v>-0.0772200772200772</v>
      </c>
      <c r="K24" s="31" t="n">
        <f aca="false">05_Propostas!H24</f>
        <v>7</v>
      </c>
      <c r="L24" s="42" t="n">
        <f aca="false">05_Propostas!I24</f>
        <v>0.94</v>
      </c>
      <c r="M24" s="43" t="str">
        <f aca="false">IF(D24&lt;&gt;"OK","",IF(E24&lt;02_Premissas!$B$16*INDEX(03_Baseline_Rotas!$K$6:$K$17,MATCH(A24,03_Baseline_Rotas!$A$6:$A$17,0)),"DUMP","OK"))</f>
        <v>OK</v>
      </c>
      <c r="N24" s="44" t="str">
        <f aca="false">IF(OR(D24&lt;&gt;"OK",F24=0),"",IF(ABS(F24-MIN(IF(D12="OK",F12,9900000000),IF(D24="OK",F24,9900000000),IF(D36="OK",F36,9900000000),IF(D48="OK",F48,9900000000)))&lt;0.51,"MELHOR",""))</f>
        <v>MELHOR</v>
      </c>
    </row>
    <row r="25" customFormat="false" ht="15" hidden="false" customHeight="true" outlineLevel="0" collapsed="false">
      <c r="A25" s="30" t="str">
        <f aca="false">05_Propostas!A25</f>
        <v>L08</v>
      </c>
      <c r="B25" s="30" t="str">
        <f aca="false">05_Propostas!B25</f>
        <v>TR02</v>
      </c>
      <c r="C25" s="30" t="str">
        <f aca="false">05_Propostas!C25</f>
        <v>RodoSul Log</v>
      </c>
      <c r="D25" s="30" t="str">
        <f aca="false">05_Propostas!M25</f>
        <v>OK</v>
      </c>
      <c r="E25" s="33" t="n">
        <f aca="false">05_Propostas!E25</f>
        <v>0.38</v>
      </c>
      <c r="F25" s="32" t="n">
        <f aca="false">IF(D25&lt;&gt;"OK",0,MAX(INDEX(03_Baseline_Rotas!$G$6:$G$17,MATCH(A25,03_Baseline_Rotas!$A$6:$A$17,0)),INDEX(03_Baseline_Rotas!$H$6:$H$17,MATCH(A25,03_Baseline_Rotas!$A$6:$A$17,0))*02_Premissas!$B$9)*E25+INDEX(03_Baseline_Rotas!$I$6:$I$17,MATCH(A25,03_Baseline_Rotas!$A$6:$A$17,0))*05_Propostas!F25+INDEX(03_Baseline_Rotas!$J$6:$J$17,MATCH(A25,03_Baseline_Rotas!$A$6:$A$17,0))*(IF(05_Propostas!J25="",02_Premissas!$B$10,05_Propostas!J25))+IF(MAX(INDEX(03_Baseline_Rotas!$G$6:$G$17,MATCH(A25,03_Baseline_Rotas!$A$6:$A$17,0)),INDEX(03_Baseline_Rotas!$H$6:$H$17,MATCH(A25,03_Baseline_Rotas!$A$6:$A$17,0))*02_Premissas!$B$9)*E25&lt;INDEX(03_Baseline_Rotas!$I$6:$I$17,MATCH(A25,03_Baseline_Rotas!$A$6:$A$17,0))*05_Propostas!G25,INDEX(03_Baseline_Rotas!$I$6:$I$17,MATCH(A25,03_Baseline_Rotas!$A$6:$A$17,0))*05_Propostas!G25-MAX(INDEX(03_Baseline_Rotas!$G$6:$G$17,MATCH(A25,03_Baseline_Rotas!$A$6:$A$17,0)),INDEX(03_Baseline_Rotas!$H$6:$H$17,MATCH(A25,03_Baseline_Rotas!$A$6:$A$17,0))*02_Premissas!$B$9)*E25,0))</f>
        <v>38640</v>
      </c>
      <c r="G25" s="32" t="n">
        <f aca="false">F25*02_Premissas!$B$8</f>
        <v>463680</v>
      </c>
      <c r="H25" s="32" t="n">
        <f aca="false">IFERROR(INDEX(03_Baseline_Rotas!$G$23:$G$34,MATCH(A25,03_Baseline_Rotas!$A$6:$A$17,0)),0)</f>
        <v>41280</v>
      </c>
      <c r="I25" s="32" t="n">
        <f aca="false">IF(D25&lt;&gt;"OK","",F25-H25)</f>
        <v>-2640</v>
      </c>
      <c r="J25" s="42" t="n">
        <f aca="false">IF(OR(D25&lt;&gt;"OK",H25=0),"",(F25-H25)/H25)</f>
        <v>-0.063953488372093</v>
      </c>
      <c r="K25" s="31" t="n">
        <f aca="false">05_Propostas!H25</f>
        <v>14</v>
      </c>
      <c r="L25" s="42" t="n">
        <f aca="false">05_Propostas!I25</f>
        <v>0.93</v>
      </c>
      <c r="M25" s="43" t="str">
        <f aca="false">IF(D25&lt;&gt;"OK","",IF(E25&lt;02_Premissas!$B$16*INDEX(03_Baseline_Rotas!$K$6:$K$17,MATCH(A25,03_Baseline_Rotas!$A$6:$A$17,0)),"DUMP","OK"))</f>
        <v>OK</v>
      </c>
      <c r="N25" s="44" t="str">
        <f aca="false">IF(OR(D25&lt;&gt;"OK",F25=0),"",IF(ABS(F25-MIN(IF(D13="OK",F13,9900000000),IF(D25="OK",F25,9900000000),IF(D37="OK",F37,9900000000),IF(D49="OK",F49,9900000000)))&lt;0.51,"MELHOR",""))</f>
        <v>MELHOR</v>
      </c>
    </row>
    <row r="26" customFormat="false" ht="15" hidden="false" customHeight="true" outlineLevel="0" collapsed="false">
      <c r="A26" s="30" t="str">
        <f aca="false">05_Propostas!A26</f>
        <v>L09</v>
      </c>
      <c r="B26" s="30" t="str">
        <f aca="false">05_Propostas!B26</f>
        <v>TR02</v>
      </c>
      <c r="C26" s="30" t="str">
        <f aca="false">05_Propostas!C26</f>
        <v>RodoSul Log</v>
      </c>
      <c r="D26" s="30" t="str">
        <f aca="false">05_Propostas!M26</f>
        <v>FORA_MALHA</v>
      </c>
      <c r="E26" s="33" t="n">
        <f aca="false">05_Propostas!E26</f>
        <v>0</v>
      </c>
      <c r="F26" s="32" t="n">
        <f aca="false">IF(D26&lt;&gt;"OK",0,MAX(INDEX(03_Baseline_Rotas!$G$6:$G$17,MATCH(A26,03_Baseline_Rotas!$A$6:$A$17,0)),INDEX(03_Baseline_Rotas!$H$6:$H$17,MATCH(A26,03_Baseline_Rotas!$A$6:$A$17,0))*02_Premissas!$B$9)*E26+INDEX(03_Baseline_Rotas!$I$6:$I$17,MATCH(A26,03_Baseline_Rotas!$A$6:$A$17,0))*05_Propostas!F26+INDEX(03_Baseline_Rotas!$J$6:$J$17,MATCH(A26,03_Baseline_Rotas!$A$6:$A$17,0))*(IF(05_Propostas!J26="",02_Premissas!$B$10,05_Propostas!J26))+IF(MAX(INDEX(03_Baseline_Rotas!$G$6:$G$17,MATCH(A26,03_Baseline_Rotas!$A$6:$A$17,0)),INDEX(03_Baseline_Rotas!$H$6:$H$17,MATCH(A26,03_Baseline_Rotas!$A$6:$A$17,0))*02_Premissas!$B$9)*E26&lt;INDEX(03_Baseline_Rotas!$I$6:$I$17,MATCH(A26,03_Baseline_Rotas!$A$6:$A$17,0))*05_Propostas!G26,INDEX(03_Baseline_Rotas!$I$6:$I$17,MATCH(A26,03_Baseline_Rotas!$A$6:$A$17,0))*05_Propostas!G26-MAX(INDEX(03_Baseline_Rotas!$G$6:$G$17,MATCH(A26,03_Baseline_Rotas!$A$6:$A$17,0)),INDEX(03_Baseline_Rotas!$H$6:$H$17,MATCH(A26,03_Baseline_Rotas!$A$6:$A$17,0))*02_Premissas!$B$9)*E26,0))</f>
        <v>0</v>
      </c>
      <c r="G26" s="32" t="n">
        <f aca="false">F26*02_Premissas!$B$8</f>
        <v>0</v>
      </c>
      <c r="H26" s="32" t="n">
        <f aca="false">IFERROR(INDEX(03_Baseline_Rotas!$G$23:$G$34,MATCH(A26,03_Baseline_Rotas!$A$6:$A$17,0)),0)</f>
        <v>122850</v>
      </c>
      <c r="I26" s="32" t="str">
        <f aca="false">IF(D26&lt;&gt;"OK","",F26-H26)</f>
        <v/>
      </c>
      <c r="J26" s="42" t="str">
        <f aca="false">IF(OR(D26&lt;&gt;"OK",H26=0),"",(F26-H26)/H26)</f>
        <v/>
      </c>
      <c r="K26" s="31" t="n">
        <f aca="false">05_Propostas!H26</f>
        <v>0</v>
      </c>
      <c r="L26" s="42" t="n">
        <f aca="false">05_Propostas!I26</f>
        <v>0</v>
      </c>
      <c r="M26" s="43" t="str">
        <f aca="false">IF(D26&lt;&gt;"OK","",IF(E26&lt;02_Premissas!$B$16*INDEX(03_Baseline_Rotas!$K$6:$K$17,MATCH(A26,03_Baseline_Rotas!$A$6:$A$17,0)),"DUMP","OK"))</f>
        <v/>
      </c>
      <c r="N26" s="44" t="str">
        <f aca="false">IF(OR(D26&lt;&gt;"OK",F26=0),"",IF(ABS(F26-MIN(IF(D14="OK",F14,9900000000),IF(D26="OK",F26,9900000000),IF(D38="OK",F38,9900000000),IF(D50="OK",F50,9900000000)))&lt;0.51,"MELHOR",""))</f>
        <v/>
      </c>
    </row>
    <row r="27" customFormat="false" ht="15" hidden="false" customHeight="true" outlineLevel="0" collapsed="false">
      <c r="A27" s="30" t="str">
        <f aca="false">05_Propostas!A27</f>
        <v>L10</v>
      </c>
      <c r="B27" s="30" t="str">
        <f aca="false">05_Propostas!B27</f>
        <v>TR02</v>
      </c>
      <c r="C27" s="30" t="str">
        <f aca="false">05_Propostas!C27</f>
        <v>RodoSul Log</v>
      </c>
      <c r="D27" s="30" t="str">
        <f aca="false">05_Propostas!M27</f>
        <v>FORA_MALHA</v>
      </c>
      <c r="E27" s="33" t="n">
        <f aca="false">05_Propostas!E27</f>
        <v>0</v>
      </c>
      <c r="F27" s="32" t="n">
        <f aca="false">IF(D27&lt;&gt;"OK",0,MAX(INDEX(03_Baseline_Rotas!$G$6:$G$17,MATCH(A27,03_Baseline_Rotas!$A$6:$A$17,0)),INDEX(03_Baseline_Rotas!$H$6:$H$17,MATCH(A27,03_Baseline_Rotas!$A$6:$A$17,0))*02_Premissas!$B$9)*E27+INDEX(03_Baseline_Rotas!$I$6:$I$17,MATCH(A27,03_Baseline_Rotas!$A$6:$A$17,0))*05_Propostas!F27+INDEX(03_Baseline_Rotas!$J$6:$J$17,MATCH(A27,03_Baseline_Rotas!$A$6:$A$17,0))*(IF(05_Propostas!J27="",02_Premissas!$B$10,05_Propostas!J27))+IF(MAX(INDEX(03_Baseline_Rotas!$G$6:$G$17,MATCH(A27,03_Baseline_Rotas!$A$6:$A$17,0)),INDEX(03_Baseline_Rotas!$H$6:$H$17,MATCH(A27,03_Baseline_Rotas!$A$6:$A$17,0))*02_Premissas!$B$9)*E27&lt;INDEX(03_Baseline_Rotas!$I$6:$I$17,MATCH(A27,03_Baseline_Rotas!$A$6:$A$17,0))*05_Propostas!G27,INDEX(03_Baseline_Rotas!$I$6:$I$17,MATCH(A27,03_Baseline_Rotas!$A$6:$A$17,0))*05_Propostas!G27-MAX(INDEX(03_Baseline_Rotas!$G$6:$G$17,MATCH(A27,03_Baseline_Rotas!$A$6:$A$17,0)),INDEX(03_Baseline_Rotas!$H$6:$H$17,MATCH(A27,03_Baseline_Rotas!$A$6:$A$17,0))*02_Premissas!$B$9)*E27,0))</f>
        <v>0</v>
      </c>
      <c r="G27" s="32" t="n">
        <f aca="false">F27*02_Premissas!$B$8</f>
        <v>0</v>
      </c>
      <c r="H27" s="32" t="n">
        <f aca="false">IFERROR(INDEX(03_Baseline_Rotas!$G$23:$G$34,MATCH(A27,03_Baseline_Rotas!$A$6:$A$17,0)),0)</f>
        <v>61170</v>
      </c>
      <c r="I27" s="32" t="str">
        <f aca="false">IF(D27&lt;&gt;"OK","",F27-H27)</f>
        <v/>
      </c>
      <c r="J27" s="42" t="str">
        <f aca="false">IF(OR(D27&lt;&gt;"OK",H27=0),"",(F27-H27)/H27)</f>
        <v/>
      </c>
      <c r="K27" s="31" t="n">
        <f aca="false">05_Propostas!H27</f>
        <v>0</v>
      </c>
      <c r="L27" s="42" t="n">
        <f aca="false">05_Propostas!I27</f>
        <v>0</v>
      </c>
      <c r="M27" s="43" t="str">
        <f aca="false">IF(D27&lt;&gt;"OK","",IF(E27&lt;02_Premissas!$B$16*INDEX(03_Baseline_Rotas!$K$6:$K$17,MATCH(A27,03_Baseline_Rotas!$A$6:$A$17,0)),"DUMP","OK"))</f>
        <v/>
      </c>
      <c r="N27" s="44" t="str">
        <f aca="false">IF(OR(D27&lt;&gt;"OK",F27=0),"",IF(ABS(F27-MIN(IF(D15="OK",F15,9900000000),IF(D27="OK",F27,9900000000),IF(D39="OK",F39,9900000000),IF(D51="OK",F51,9900000000)))&lt;0.51,"MELHOR",""))</f>
        <v/>
      </c>
    </row>
    <row r="28" customFormat="false" ht="15" hidden="false" customHeight="true" outlineLevel="0" collapsed="false">
      <c r="A28" s="30" t="str">
        <f aca="false">05_Propostas!A28</f>
        <v>L11</v>
      </c>
      <c r="B28" s="30" t="str">
        <f aca="false">05_Propostas!B28</f>
        <v>TR02</v>
      </c>
      <c r="C28" s="30" t="str">
        <f aca="false">05_Propostas!C28</f>
        <v>RodoSul Log</v>
      </c>
      <c r="D28" s="30" t="str">
        <f aca="false">05_Propostas!M28</f>
        <v>OK</v>
      </c>
      <c r="E28" s="33" t="n">
        <f aca="false">05_Propostas!E28</f>
        <v>0.5</v>
      </c>
      <c r="F28" s="32" t="n">
        <f aca="false">IF(D28&lt;&gt;"OK",0,MAX(INDEX(03_Baseline_Rotas!$G$6:$G$17,MATCH(A28,03_Baseline_Rotas!$A$6:$A$17,0)),INDEX(03_Baseline_Rotas!$H$6:$H$17,MATCH(A28,03_Baseline_Rotas!$A$6:$A$17,0))*02_Premissas!$B$9)*E28+INDEX(03_Baseline_Rotas!$I$6:$I$17,MATCH(A28,03_Baseline_Rotas!$A$6:$A$17,0))*05_Propostas!F28+INDEX(03_Baseline_Rotas!$J$6:$J$17,MATCH(A28,03_Baseline_Rotas!$A$6:$A$17,0))*(IF(05_Propostas!J28="",02_Premissas!$B$10,05_Propostas!J28))+IF(MAX(INDEX(03_Baseline_Rotas!$G$6:$G$17,MATCH(A28,03_Baseline_Rotas!$A$6:$A$17,0)),INDEX(03_Baseline_Rotas!$H$6:$H$17,MATCH(A28,03_Baseline_Rotas!$A$6:$A$17,0))*02_Premissas!$B$9)*E28&lt;INDEX(03_Baseline_Rotas!$I$6:$I$17,MATCH(A28,03_Baseline_Rotas!$A$6:$A$17,0))*05_Propostas!G28,INDEX(03_Baseline_Rotas!$I$6:$I$17,MATCH(A28,03_Baseline_Rotas!$A$6:$A$17,0))*05_Propostas!G28-MAX(INDEX(03_Baseline_Rotas!$G$6:$G$17,MATCH(A28,03_Baseline_Rotas!$A$6:$A$17,0)),INDEX(03_Baseline_Rotas!$H$6:$H$17,MATCH(A28,03_Baseline_Rotas!$A$6:$A$17,0))*02_Premissas!$B$9)*E28,0))</f>
        <v>45300</v>
      </c>
      <c r="G28" s="32" t="n">
        <f aca="false">F28*02_Premissas!$B$8</f>
        <v>543600</v>
      </c>
      <c r="H28" s="32" t="n">
        <f aca="false">IFERROR(INDEX(03_Baseline_Rotas!$G$23:$G$34,MATCH(A28,03_Baseline_Rotas!$A$6:$A$17,0)),0)</f>
        <v>44490</v>
      </c>
      <c r="I28" s="32" t="n">
        <f aca="false">IF(D28&lt;&gt;"OK","",F28-H28)</f>
        <v>810</v>
      </c>
      <c r="J28" s="42" t="n">
        <f aca="false">IF(OR(D28&lt;&gt;"OK",H28=0),"",(F28-H28)/H28)</f>
        <v>0.0182063385030344</v>
      </c>
      <c r="K28" s="31" t="n">
        <f aca="false">05_Propostas!H28</f>
        <v>20</v>
      </c>
      <c r="L28" s="42" t="n">
        <f aca="false">05_Propostas!I28</f>
        <v>0.9</v>
      </c>
      <c r="M28" s="43" t="str">
        <f aca="false">IF(D28&lt;&gt;"OK","",IF(E28&lt;02_Premissas!$B$16*INDEX(03_Baseline_Rotas!$K$6:$K$17,MATCH(A28,03_Baseline_Rotas!$A$6:$A$17,0)),"DUMP","OK"))</f>
        <v>OK</v>
      </c>
      <c r="N28" s="44" t="str">
        <f aca="false">IF(OR(D28&lt;&gt;"OK",F28=0),"",IF(ABS(F28-MIN(IF(D16="OK",F16,9900000000),IF(D28="OK",F28,9900000000),IF(D40="OK",F40,9900000000),IF(D52="OK",F52,9900000000)))&lt;0.51,"MELHOR",""))</f>
        <v/>
      </c>
    </row>
    <row r="29" customFormat="false" ht="15" hidden="false" customHeight="true" outlineLevel="0" collapsed="false">
      <c r="A29" s="30" t="str">
        <f aca="false">05_Propostas!A29</f>
        <v>L12</v>
      </c>
      <c r="B29" s="30" t="str">
        <f aca="false">05_Propostas!B29</f>
        <v>TR02</v>
      </c>
      <c r="C29" s="30" t="str">
        <f aca="false">05_Propostas!C29</f>
        <v>RodoSul Log</v>
      </c>
      <c r="D29" s="30" t="str">
        <f aca="false">05_Propostas!M29</f>
        <v>OK</v>
      </c>
      <c r="E29" s="33" t="n">
        <f aca="false">05_Propostas!E29</f>
        <v>0.47</v>
      </c>
      <c r="F29" s="32" t="n">
        <f aca="false">IF(D29&lt;&gt;"OK",0,MAX(INDEX(03_Baseline_Rotas!$G$6:$G$17,MATCH(A29,03_Baseline_Rotas!$A$6:$A$17,0)),INDEX(03_Baseline_Rotas!$H$6:$H$17,MATCH(A29,03_Baseline_Rotas!$A$6:$A$17,0))*02_Premissas!$B$9)*E29+INDEX(03_Baseline_Rotas!$I$6:$I$17,MATCH(A29,03_Baseline_Rotas!$A$6:$A$17,0))*05_Propostas!F29+INDEX(03_Baseline_Rotas!$J$6:$J$17,MATCH(A29,03_Baseline_Rotas!$A$6:$A$17,0))*(IF(05_Propostas!J29="",02_Premissas!$B$10,05_Propostas!J29))+IF(MAX(INDEX(03_Baseline_Rotas!$G$6:$G$17,MATCH(A29,03_Baseline_Rotas!$A$6:$A$17,0)),INDEX(03_Baseline_Rotas!$H$6:$H$17,MATCH(A29,03_Baseline_Rotas!$A$6:$A$17,0))*02_Premissas!$B$9)*E29&lt;INDEX(03_Baseline_Rotas!$I$6:$I$17,MATCH(A29,03_Baseline_Rotas!$A$6:$A$17,0))*05_Propostas!G29,INDEX(03_Baseline_Rotas!$I$6:$I$17,MATCH(A29,03_Baseline_Rotas!$A$6:$A$17,0))*05_Propostas!G29-MAX(INDEX(03_Baseline_Rotas!$G$6:$G$17,MATCH(A29,03_Baseline_Rotas!$A$6:$A$17,0)),INDEX(03_Baseline_Rotas!$H$6:$H$17,MATCH(A29,03_Baseline_Rotas!$A$6:$A$17,0))*02_Premissas!$B$9)*E29,0))</f>
        <v>28770</v>
      </c>
      <c r="G29" s="32" t="n">
        <f aca="false">F29*02_Premissas!$B$8</f>
        <v>345240</v>
      </c>
      <c r="H29" s="32" t="n">
        <f aca="false">IFERROR(INDEX(03_Baseline_Rotas!$G$23:$G$34,MATCH(A29,03_Baseline_Rotas!$A$6:$A$17,0)),0)</f>
        <v>28220</v>
      </c>
      <c r="I29" s="32" t="n">
        <f aca="false">IF(D29&lt;&gt;"OK","",F29-H29)</f>
        <v>550</v>
      </c>
      <c r="J29" s="42" t="n">
        <f aca="false">IF(OR(D29&lt;&gt;"OK",H29=0),"",(F29-H29)/H29)</f>
        <v>0.0194897236002835</v>
      </c>
      <c r="K29" s="31" t="n">
        <f aca="false">05_Propostas!H29</f>
        <v>17</v>
      </c>
      <c r="L29" s="42" t="n">
        <f aca="false">05_Propostas!I29</f>
        <v>0.91</v>
      </c>
      <c r="M29" s="43" t="str">
        <f aca="false">IF(D29&lt;&gt;"OK","",IF(E29&lt;02_Premissas!$B$16*INDEX(03_Baseline_Rotas!$K$6:$K$17,MATCH(A29,03_Baseline_Rotas!$A$6:$A$17,0)),"DUMP","OK"))</f>
        <v>OK</v>
      </c>
      <c r="N29" s="44" t="str">
        <f aca="false">IF(OR(D29&lt;&gt;"OK",F29=0),"",IF(ABS(F29-MIN(IF(D17="OK",F17,9900000000),IF(D29="OK",F29,9900000000),IF(D41="OK",F41,9900000000),IF(D53="OK",F53,9900000000)))&lt;0.51,"MELHOR",""))</f>
        <v/>
      </c>
    </row>
    <row r="30" customFormat="false" ht="15" hidden="false" customHeight="true" outlineLevel="0" collapsed="false">
      <c r="A30" s="30" t="str">
        <f aca="false">05_Propostas!A30</f>
        <v>L01</v>
      </c>
      <c r="B30" s="30" t="str">
        <f aca="false">05_Propostas!B30</f>
        <v>TR03</v>
      </c>
      <c r="C30" s="30" t="str">
        <f aca="false">05_Propostas!C30</f>
        <v>Nordeste Express</v>
      </c>
      <c r="D30" s="30" t="str">
        <f aca="false">05_Propostas!M30</f>
        <v>OK</v>
      </c>
      <c r="E30" s="33" t="n">
        <f aca="false">05_Propostas!E30</f>
        <v>0.3</v>
      </c>
      <c r="F30" s="32" t="n">
        <f aca="false">IF(D30&lt;&gt;"OK",0,MAX(INDEX(03_Baseline_Rotas!$G$6:$G$17,MATCH(A30,03_Baseline_Rotas!$A$6:$A$17,0)),INDEX(03_Baseline_Rotas!$H$6:$H$17,MATCH(A30,03_Baseline_Rotas!$A$6:$A$17,0))*02_Premissas!$B$9)*E30+INDEX(03_Baseline_Rotas!$I$6:$I$17,MATCH(A30,03_Baseline_Rotas!$A$6:$A$17,0))*05_Propostas!F30+INDEX(03_Baseline_Rotas!$J$6:$J$17,MATCH(A30,03_Baseline_Rotas!$A$6:$A$17,0))*(IF(05_Propostas!J30="",02_Premissas!$B$10,05_Propostas!J30))+IF(MAX(INDEX(03_Baseline_Rotas!$G$6:$G$17,MATCH(A30,03_Baseline_Rotas!$A$6:$A$17,0)),INDEX(03_Baseline_Rotas!$H$6:$H$17,MATCH(A30,03_Baseline_Rotas!$A$6:$A$17,0))*02_Premissas!$B$9)*E30&lt;INDEX(03_Baseline_Rotas!$I$6:$I$17,MATCH(A30,03_Baseline_Rotas!$A$6:$A$17,0))*05_Propostas!G30,INDEX(03_Baseline_Rotas!$I$6:$I$17,MATCH(A30,03_Baseline_Rotas!$A$6:$A$17,0))*05_Propostas!G30-MAX(INDEX(03_Baseline_Rotas!$G$6:$G$17,MATCH(A30,03_Baseline_Rotas!$A$6:$A$17,0)),INDEX(03_Baseline_Rotas!$H$6:$H$17,MATCH(A30,03_Baseline_Rotas!$A$6:$A$17,0))*02_Premissas!$B$9)*E30,0))</f>
        <v>112360</v>
      </c>
      <c r="G30" s="32" t="n">
        <f aca="false">F30*02_Premissas!$B$8</f>
        <v>1348320</v>
      </c>
      <c r="H30" s="32" t="n">
        <f aca="false">IFERROR(INDEX(03_Baseline_Rotas!$G$23:$G$34,MATCH(A30,03_Baseline_Rotas!$A$6:$A$17,0)),0)</f>
        <v>106260</v>
      </c>
      <c r="I30" s="32" t="n">
        <f aca="false">IF(D30&lt;&gt;"OK","",F30-H30)</f>
        <v>6099.99999999999</v>
      </c>
      <c r="J30" s="42" t="n">
        <f aca="false">IF(OR(D30&lt;&gt;"OK",H30=0),"",(F30-H30)/H30)</f>
        <v>0.0574063617541877</v>
      </c>
      <c r="K30" s="31" t="n">
        <f aca="false">05_Propostas!H30</f>
        <v>14</v>
      </c>
      <c r="L30" s="42" t="n">
        <f aca="false">05_Propostas!I30</f>
        <v>0.9</v>
      </c>
      <c r="M30" s="43" t="str">
        <f aca="false">IF(D30&lt;&gt;"OK","",IF(E30&lt;02_Premissas!$B$16*INDEX(03_Baseline_Rotas!$K$6:$K$17,MATCH(A30,03_Baseline_Rotas!$A$6:$A$17,0)),"DUMP","OK"))</f>
        <v>OK</v>
      </c>
      <c r="N30" s="44" t="str">
        <f aca="false">IF(OR(D30&lt;&gt;"OK",F30=0),"",IF(ABS(F30-MIN(IF(D6="OK",F6,9900000000),IF(D18="OK",F18,9900000000),IF(D30="OK",F30,9900000000),IF(D42="OK",F42,9900000000)))&lt;0.51,"MELHOR",""))</f>
        <v/>
      </c>
    </row>
    <row r="31" customFormat="false" ht="15" hidden="false" customHeight="true" outlineLevel="0" collapsed="false">
      <c r="A31" s="30" t="str">
        <f aca="false">05_Propostas!A31</f>
        <v>L02</v>
      </c>
      <c r="B31" s="30" t="str">
        <f aca="false">05_Propostas!B31</f>
        <v>TR03</v>
      </c>
      <c r="C31" s="30" t="str">
        <f aca="false">05_Propostas!C31</f>
        <v>Nordeste Express</v>
      </c>
      <c r="D31" s="30" t="str">
        <f aca="false">05_Propostas!M31</f>
        <v>OK</v>
      </c>
      <c r="E31" s="33" t="n">
        <f aca="false">05_Propostas!E31</f>
        <v>0.32</v>
      </c>
      <c r="F31" s="32" t="n">
        <f aca="false">IF(D31&lt;&gt;"OK",0,MAX(INDEX(03_Baseline_Rotas!$G$6:$G$17,MATCH(A31,03_Baseline_Rotas!$A$6:$A$17,0)),INDEX(03_Baseline_Rotas!$H$6:$H$17,MATCH(A31,03_Baseline_Rotas!$A$6:$A$17,0))*02_Premissas!$B$9)*E31+INDEX(03_Baseline_Rotas!$I$6:$I$17,MATCH(A31,03_Baseline_Rotas!$A$6:$A$17,0))*05_Propostas!F31+INDEX(03_Baseline_Rotas!$J$6:$J$17,MATCH(A31,03_Baseline_Rotas!$A$6:$A$17,0))*(IF(05_Propostas!J31="",02_Premissas!$B$10,05_Propostas!J31))+IF(MAX(INDEX(03_Baseline_Rotas!$G$6:$G$17,MATCH(A31,03_Baseline_Rotas!$A$6:$A$17,0)),INDEX(03_Baseline_Rotas!$H$6:$H$17,MATCH(A31,03_Baseline_Rotas!$A$6:$A$17,0))*02_Premissas!$B$9)*E31&lt;INDEX(03_Baseline_Rotas!$I$6:$I$17,MATCH(A31,03_Baseline_Rotas!$A$6:$A$17,0))*05_Propostas!G31,INDEX(03_Baseline_Rotas!$I$6:$I$17,MATCH(A31,03_Baseline_Rotas!$A$6:$A$17,0))*05_Propostas!G31-MAX(INDEX(03_Baseline_Rotas!$G$6:$G$17,MATCH(A31,03_Baseline_Rotas!$A$6:$A$17,0)),INDEX(03_Baseline_Rotas!$H$6:$H$17,MATCH(A31,03_Baseline_Rotas!$A$6:$A$17,0))*02_Premissas!$B$9)*E31,0))</f>
        <v>88080</v>
      </c>
      <c r="G31" s="32" t="n">
        <f aca="false">F31*02_Premissas!$B$8</f>
        <v>1056960</v>
      </c>
      <c r="H31" s="32" t="n">
        <f aca="false">IFERROR(INDEX(03_Baseline_Rotas!$G$23:$G$34,MATCH(A31,03_Baseline_Rotas!$A$6:$A$17,0)),0)</f>
        <v>85700</v>
      </c>
      <c r="I31" s="32" t="n">
        <f aca="false">IF(D31&lt;&gt;"OK","",F31-H31)</f>
        <v>2380</v>
      </c>
      <c r="J31" s="42" t="n">
        <f aca="false">IF(OR(D31&lt;&gt;"OK",H31=0),"",(F31-H31)/H31)</f>
        <v>0.0277712952158693</v>
      </c>
      <c r="K31" s="31" t="n">
        <f aca="false">05_Propostas!H31</f>
        <v>12</v>
      </c>
      <c r="L31" s="42" t="n">
        <f aca="false">05_Propostas!I31</f>
        <v>0.89</v>
      </c>
      <c r="M31" s="43" t="str">
        <f aca="false">IF(D31&lt;&gt;"OK","",IF(E31&lt;02_Premissas!$B$16*INDEX(03_Baseline_Rotas!$K$6:$K$17,MATCH(A31,03_Baseline_Rotas!$A$6:$A$17,0)),"DUMP","OK"))</f>
        <v>OK</v>
      </c>
      <c r="N31" s="44" t="str">
        <f aca="false">IF(OR(D31&lt;&gt;"OK",F31=0),"",IF(ABS(F31-MIN(IF(D7="OK",F7,9900000000),IF(D19="OK",F19,9900000000),IF(D31="OK",F31,9900000000),IF(D43="OK",F43,9900000000)))&lt;0.51,"MELHOR",""))</f>
        <v/>
      </c>
    </row>
    <row r="32" customFormat="false" ht="15" hidden="false" customHeight="true" outlineLevel="0" collapsed="false">
      <c r="A32" s="30" t="str">
        <f aca="false">05_Propostas!A32</f>
        <v>L03</v>
      </c>
      <c r="B32" s="30" t="str">
        <f aca="false">05_Propostas!B32</f>
        <v>TR03</v>
      </c>
      <c r="C32" s="30" t="str">
        <f aca="false">05_Propostas!C32</f>
        <v>Nordeste Express</v>
      </c>
      <c r="D32" s="30" t="str">
        <f aca="false">05_Propostas!M32</f>
        <v>FORA_MALHA</v>
      </c>
      <c r="E32" s="33" t="n">
        <f aca="false">05_Propostas!E32</f>
        <v>0</v>
      </c>
      <c r="F32" s="32" t="n">
        <f aca="false">IF(D32&lt;&gt;"OK",0,MAX(INDEX(03_Baseline_Rotas!$G$6:$G$17,MATCH(A32,03_Baseline_Rotas!$A$6:$A$17,0)),INDEX(03_Baseline_Rotas!$H$6:$H$17,MATCH(A32,03_Baseline_Rotas!$A$6:$A$17,0))*02_Premissas!$B$9)*E32+INDEX(03_Baseline_Rotas!$I$6:$I$17,MATCH(A32,03_Baseline_Rotas!$A$6:$A$17,0))*05_Propostas!F32+INDEX(03_Baseline_Rotas!$J$6:$J$17,MATCH(A32,03_Baseline_Rotas!$A$6:$A$17,0))*(IF(05_Propostas!J32="",02_Premissas!$B$10,05_Propostas!J32))+IF(MAX(INDEX(03_Baseline_Rotas!$G$6:$G$17,MATCH(A32,03_Baseline_Rotas!$A$6:$A$17,0)),INDEX(03_Baseline_Rotas!$H$6:$H$17,MATCH(A32,03_Baseline_Rotas!$A$6:$A$17,0))*02_Premissas!$B$9)*E32&lt;INDEX(03_Baseline_Rotas!$I$6:$I$17,MATCH(A32,03_Baseline_Rotas!$A$6:$A$17,0))*05_Propostas!G32,INDEX(03_Baseline_Rotas!$I$6:$I$17,MATCH(A32,03_Baseline_Rotas!$A$6:$A$17,0))*05_Propostas!G32-MAX(INDEX(03_Baseline_Rotas!$G$6:$G$17,MATCH(A32,03_Baseline_Rotas!$A$6:$A$17,0)),INDEX(03_Baseline_Rotas!$H$6:$H$17,MATCH(A32,03_Baseline_Rotas!$A$6:$A$17,0))*02_Premissas!$B$9)*E32,0))</f>
        <v>0</v>
      </c>
      <c r="G32" s="32" t="n">
        <f aca="false">F32*02_Premissas!$B$8</f>
        <v>0</v>
      </c>
      <c r="H32" s="32" t="n">
        <f aca="false">IFERROR(INDEX(03_Baseline_Rotas!$G$23:$G$34,MATCH(A32,03_Baseline_Rotas!$A$6:$A$17,0)),0)</f>
        <v>56730</v>
      </c>
      <c r="I32" s="32" t="str">
        <f aca="false">IF(D32&lt;&gt;"OK","",F32-H32)</f>
        <v/>
      </c>
      <c r="J32" s="42" t="str">
        <f aca="false">IF(OR(D32&lt;&gt;"OK",H32=0),"",(F32-H32)/H32)</f>
        <v/>
      </c>
      <c r="K32" s="31" t="n">
        <f aca="false">05_Propostas!H32</f>
        <v>0</v>
      </c>
      <c r="L32" s="42" t="n">
        <f aca="false">05_Propostas!I32</f>
        <v>0</v>
      </c>
      <c r="M32" s="43" t="str">
        <f aca="false">IF(D32&lt;&gt;"OK","",IF(E32&lt;02_Premissas!$B$16*INDEX(03_Baseline_Rotas!$K$6:$K$17,MATCH(A32,03_Baseline_Rotas!$A$6:$A$17,0)),"DUMP","OK"))</f>
        <v/>
      </c>
      <c r="N32" s="44" t="str">
        <f aca="false">IF(OR(D32&lt;&gt;"OK",F32=0),"",IF(ABS(F32-MIN(IF(D8="OK",F8,9900000000),IF(D20="OK",F20,9900000000),IF(D32="OK",F32,9900000000),IF(D44="OK",F44,9900000000)))&lt;0.51,"MELHOR",""))</f>
        <v/>
      </c>
    </row>
    <row r="33" customFormat="false" ht="15" hidden="false" customHeight="true" outlineLevel="0" collapsed="false">
      <c r="A33" s="30" t="str">
        <f aca="false">05_Propostas!A33</f>
        <v>L04</v>
      </c>
      <c r="B33" s="30" t="str">
        <f aca="false">05_Propostas!B33</f>
        <v>TR03</v>
      </c>
      <c r="C33" s="30" t="str">
        <f aca="false">05_Propostas!C33</f>
        <v>Nordeste Express</v>
      </c>
      <c r="D33" s="30" t="str">
        <f aca="false">05_Propostas!M33</f>
        <v>FORA_MALHA</v>
      </c>
      <c r="E33" s="33" t="n">
        <f aca="false">05_Propostas!E33</f>
        <v>0</v>
      </c>
      <c r="F33" s="32" t="n">
        <f aca="false">IF(D33&lt;&gt;"OK",0,MAX(INDEX(03_Baseline_Rotas!$G$6:$G$17,MATCH(A33,03_Baseline_Rotas!$A$6:$A$17,0)),INDEX(03_Baseline_Rotas!$H$6:$H$17,MATCH(A33,03_Baseline_Rotas!$A$6:$A$17,0))*02_Premissas!$B$9)*E33+INDEX(03_Baseline_Rotas!$I$6:$I$17,MATCH(A33,03_Baseline_Rotas!$A$6:$A$17,0))*05_Propostas!F33+INDEX(03_Baseline_Rotas!$J$6:$J$17,MATCH(A33,03_Baseline_Rotas!$A$6:$A$17,0))*(IF(05_Propostas!J33="",02_Premissas!$B$10,05_Propostas!J33))+IF(MAX(INDEX(03_Baseline_Rotas!$G$6:$G$17,MATCH(A33,03_Baseline_Rotas!$A$6:$A$17,0)),INDEX(03_Baseline_Rotas!$H$6:$H$17,MATCH(A33,03_Baseline_Rotas!$A$6:$A$17,0))*02_Premissas!$B$9)*E33&lt;INDEX(03_Baseline_Rotas!$I$6:$I$17,MATCH(A33,03_Baseline_Rotas!$A$6:$A$17,0))*05_Propostas!G33,INDEX(03_Baseline_Rotas!$I$6:$I$17,MATCH(A33,03_Baseline_Rotas!$A$6:$A$17,0))*05_Propostas!G33-MAX(INDEX(03_Baseline_Rotas!$G$6:$G$17,MATCH(A33,03_Baseline_Rotas!$A$6:$A$17,0)),INDEX(03_Baseline_Rotas!$H$6:$H$17,MATCH(A33,03_Baseline_Rotas!$A$6:$A$17,0))*02_Premissas!$B$9)*E33,0))</f>
        <v>0</v>
      </c>
      <c r="G33" s="32" t="n">
        <f aca="false">F33*02_Premissas!$B$8</f>
        <v>0</v>
      </c>
      <c r="H33" s="32" t="n">
        <f aca="false">IFERROR(INDEX(03_Baseline_Rotas!$G$23:$G$34,MATCH(A33,03_Baseline_Rotas!$A$6:$A$17,0)),0)</f>
        <v>67050</v>
      </c>
      <c r="I33" s="32" t="str">
        <f aca="false">IF(D33&lt;&gt;"OK","",F33-H33)</f>
        <v/>
      </c>
      <c r="J33" s="42" t="str">
        <f aca="false">IF(OR(D33&lt;&gt;"OK",H33=0),"",(F33-H33)/H33)</f>
        <v/>
      </c>
      <c r="K33" s="31" t="n">
        <f aca="false">05_Propostas!H33</f>
        <v>0</v>
      </c>
      <c r="L33" s="42" t="n">
        <f aca="false">05_Propostas!I33</f>
        <v>0</v>
      </c>
      <c r="M33" s="43" t="str">
        <f aca="false">IF(D33&lt;&gt;"OK","",IF(E33&lt;02_Premissas!$B$16*INDEX(03_Baseline_Rotas!$K$6:$K$17,MATCH(A33,03_Baseline_Rotas!$A$6:$A$17,0)),"DUMP","OK"))</f>
        <v/>
      </c>
      <c r="N33" s="44" t="str">
        <f aca="false">IF(OR(D33&lt;&gt;"OK",F33=0),"",IF(ABS(F33-MIN(IF(D9="OK",F9,9900000000),IF(D21="OK",F21,9900000000),IF(D33="OK",F33,9900000000),IF(D45="OK",F45,9900000000)))&lt;0.51,"MELHOR",""))</f>
        <v/>
      </c>
    </row>
    <row r="34" customFormat="false" ht="15" hidden="false" customHeight="true" outlineLevel="0" collapsed="false">
      <c r="A34" s="30" t="str">
        <f aca="false">05_Propostas!A34</f>
        <v>L05</v>
      </c>
      <c r="B34" s="30" t="str">
        <f aca="false">05_Propostas!B34</f>
        <v>TR03</v>
      </c>
      <c r="C34" s="30" t="str">
        <f aca="false">05_Propostas!C34</f>
        <v>Nordeste Express</v>
      </c>
      <c r="D34" s="30" t="str">
        <f aca="false">05_Propostas!M34</f>
        <v>OK</v>
      </c>
      <c r="E34" s="33" t="n">
        <f aca="false">05_Propostas!E34</f>
        <v>0.495</v>
      </c>
      <c r="F34" s="32" t="n">
        <f aca="false">IF(D34&lt;&gt;"OK",0,MAX(INDEX(03_Baseline_Rotas!$G$6:$G$17,MATCH(A34,03_Baseline_Rotas!$A$6:$A$17,0)),INDEX(03_Baseline_Rotas!$H$6:$H$17,MATCH(A34,03_Baseline_Rotas!$A$6:$A$17,0))*02_Premissas!$B$9)*E34+INDEX(03_Baseline_Rotas!$I$6:$I$17,MATCH(A34,03_Baseline_Rotas!$A$6:$A$17,0))*05_Propostas!F34+INDEX(03_Baseline_Rotas!$J$6:$J$17,MATCH(A34,03_Baseline_Rotas!$A$6:$A$17,0))*(IF(05_Propostas!J34="",02_Premissas!$B$10,05_Propostas!J34))+IF(MAX(INDEX(03_Baseline_Rotas!$G$6:$G$17,MATCH(A34,03_Baseline_Rotas!$A$6:$A$17,0)),INDEX(03_Baseline_Rotas!$H$6:$H$17,MATCH(A34,03_Baseline_Rotas!$A$6:$A$17,0))*02_Premissas!$B$9)*E34&lt;INDEX(03_Baseline_Rotas!$I$6:$I$17,MATCH(A34,03_Baseline_Rotas!$A$6:$A$17,0))*05_Propostas!G34,INDEX(03_Baseline_Rotas!$I$6:$I$17,MATCH(A34,03_Baseline_Rotas!$A$6:$A$17,0))*05_Propostas!G34-MAX(INDEX(03_Baseline_Rotas!$G$6:$G$17,MATCH(A34,03_Baseline_Rotas!$A$6:$A$17,0)),INDEX(03_Baseline_Rotas!$H$6:$H$17,MATCH(A34,03_Baseline_Rotas!$A$6:$A$17,0))*02_Premissas!$B$9)*E34,0))</f>
        <v>58330</v>
      </c>
      <c r="G34" s="32" t="n">
        <f aca="false">F34*02_Premissas!$B$8</f>
        <v>699960</v>
      </c>
      <c r="H34" s="32" t="n">
        <f aca="false">IFERROR(INDEX(03_Baseline_Rotas!$G$23:$G$34,MATCH(A34,03_Baseline_Rotas!$A$6:$A$17,0)),0)</f>
        <v>66770</v>
      </c>
      <c r="I34" s="32" t="n">
        <f aca="false">IF(D34&lt;&gt;"OK","",F34-H34)</f>
        <v>-8440</v>
      </c>
      <c r="J34" s="42" t="n">
        <f aca="false">IF(OR(D34&lt;&gt;"OK",H34=0),"",(F34-H34)/H34)</f>
        <v>-0.126404073685787</v>
      </c>
      <c r="K34" s="31" t="n">
        <f aca="false">05_Propostas!H34</f>
        <v>32</v>
      </c>
      <c r="L34" s="42" t="n">
        <f aca="false">05_Propostas!I34</f>
        <v>0.91</v>
      </c>
      <c r="M34" s="43" t="str">
        <f aca="false">IF(D34&lt;&gt;"OK","",IF(E34&lt;02_Premissas!$B$16*INDEX(03_Baseline_Rotas!$K$6:$K$17,MATCH(A34,03_Baseline_Rotas!$A$6:$A$17,0)),"DUMP","OK"))</f>
        <v>OK</v>
      </c>
      <c r="N34" s="44" t="str">
        <f aca="false">IF(OR(D34&lt;&gt;"OK",F34=0),"",IF(ABS(F34-MIN(IF(D10="OK",F10,9900000000),IF(D22="OK",F22,9900000000),IF(D34="OK",F34,9900000000),IF(D46="OK",F46,9900000000)))&lt;0.51,"MELHOR",""))</f>
        <v>MELHOR</v>
      </c>
    </row>
    <row r="35" customFormat="false" ht="15" hidden="false" customHeight="true" outlineLevel="0" collapsed="false">
      <c r="A35" s="30" t="str">
        <f aca="false">05_Propostas!A35</f>
        <v>L06</v>
      </c>
      <c r="B35" s="30" t="str">
        <f aca="false">05_Propostas!B35</f>
        <v>TR03</v>
      </c>
      <c r="C35" s="30" t="str">
        <f aca="false">05_Propostas!C35</f>
        <v>Nordeste Express</v>
      </c>
      <c r="D35" s="30" t="str">
        <f aca="false">05_Propostas!M35</f>
        <v>OK</v>
      </c>
      <c r="E35" s="33" t="n">
        <f aca="false">05_Propostas!E35</f>
        <v>0.68</v>
      </c>
      <c r="F35" s="32" t="n">
        <f aca="false">IF(D35&lt;&gt;"OK",0,MAX(INDEX(03_Baseline_Rotas!$G$6:$G$17,MATCH(A35,03_Baseline_Rotas!$A$6:$A$17,0)),INDEX(03_Baseline_Rotas!$H$6:$H$17,MATCH(A35,03_Baseline_Rotas!$A$6:$A$17,0))*02_Premissas!$B$9)*E35+INDEX(03_Baseline_Rotas!$I$6:$I$17,MATCH(A35,03_Baseline_Rotas!$A$6:$A$17,0))*05_Propostas!F35+INDEX(03_Baseline_Rotas!$J$6:$J$17,MATCH(A35,03_Baseline_Rotas!$A$6:$A$17,0))*(IF(05_Propostas!J35="",02_Premissas!$B$10,05_Propostas!J35))+IF(MAX(INDEX(03_Baseline_Rotas!$G$6:$G$17,MATCH(A35,03_Baseline_Rotas!$A$6:$A$17,0)),INDEX(03_Baseline_Rotas!$H$6:$H$17,MATCH(A35,03_Baseline_Rotas!$A$6:$A$17,0))*02_Premissas!$B$9)*E35&lt;INDEX(03_Baseline_Rotas!$I$6:$I$17,MATCH(A35,03_Baseline_Rotas!$A$6:$A$17,0))*05_Propostas!G35,INDEX(03_Baseline_Rotas!$I$6:$I$17,MATCH(A35,03_Baseline_Rotas!$A$6:$A$17,0))*05_Propostas!G35-MAX(INDEX(03_Baseline_Rotas!$G$6:$G$17,MATCH(A35,03_Baseline_Rotas!$A$6:$A$17,0)),INDEX(03_Baseline_Rotas!$H$6:$H$17,MATCH(A35,03_Baseline_Rotas!$A$6:$A$17,0))*02_Premissas!$B$9)*E35,0))</f>
        <v>49470</v>
      </c>
      <c r="G35" s="32" t="n">
        <f aca="false">F35*02_Premissas!$B$8</f>
        <v>593640</v>
      </c>
      <c r="H35" s="32" t="n">
        <f aca="false">IFERROR(INDEX(03_Baseline_Rotas!$G$23:$G$34,MATCH(A35,03_Baseline_Rotas!$A$6:$A$17,0)),0)</f>
        <v>56350</v>
      </c>
      <c r="I35" s="32" t="n">
        <f aca="false">IF(D35&lt;&gt;"OK","",F35-H35)</f>
        <v>-6880</v>
      </c>
      <c r="J35" s="42" t="n">
        <f aca="false">IF(OR(D35&lt;&gt;"OK",H35=0),"",(F35-H35)/H35)</f>
        <v>-0.12209405501331</v>
      </c>
      <c r="K35" s="31" t="n">
        <f aca="false">05_Propostas!H35</f>
        <v>54</v>
      </c>
      <c r="L35" s="42" t="n">
        <f aca="false">05_Propostas!I35</f>
        <v>0.9</v>
      </c>
      <c r="M35" s="43" t="str">
        <f aca="false">IF(D35&lt;&gt;"OK","",IF(E35&lt;02_Premissas!$B$16*INDEX(03_Baseline_Rotas!$K$6:$K$17,MATCH(A35,03_Baseline_Rotas!$A$6:$A$17,0)),"DUMP","OK"))</f>
        <v>OK</v>
      </c>
      <c r="N35" s="44" t="str">
        <f aca="false">IF(OR(D35&lt;&gt;"OK",F35=0),"",IF(ABS(F35-MIN(IF(D11="OK",F11,9900000000),IF(D23="OK",F23,9900000000),IF(D35="OK",F35,9900000000),IF(D47="OK",F47,9900000000)))&lt;0.51,"MELHOR",""))</f>
        <v>MELHOR</v>
      </c>
    </row>
    <row r="36" customFormat="false" ht="15" hidden="false" customHeight="true" outlineLevel="0" collapsed="false">
      <c r="A36" s="30" t="str">
        <f aca="false">05_Propostas!A36</f>
        <v>L07</v>
      </c>
      <c r="B36" s="30" t="str">
        <f aca="false">05_Propostas!B36</f>
        <v>TR03</v>
      </c>
      <c r="C36" s="30" t="str">
        <f aca="false">05_Propostas!C36</f>
        <v>Nordeste Express</v>
      </c>
      <c r="D36" s="30" t="str">
        <f aca="false">05_Propostas!M36</f>
        <v>OK</v>
      </c>
      <c r="E36" s="33" t="n">
        <f aca="false">05_Propostas!E36</f>
        <v>0.47</v>
      </c>
      <c r="F36" s="32" t="n">
        <f aca="false">IF(D36&lt;&gt;"OK",0,MAX(INDEX(03_Baseline_Rotas!$G$6:$G$17,MATCH(A36,03_Baseline_Rotas!$A$6:$A$17,0)),INDEX(03_Baseline_Rotas!$H$6:$H$17,MATCH(A36,03_Baseline_Rotas!$A$6:$A$17,0))*02_Premissas!$B$9)*E36+INDEX(03_Baseline_Rotas!$I$6:$I$17,MATCH(A36,03_Baseline_Rotas!$A$6:$A$17,0))*05_Propostas!F36+INDEX(03_Baseline_Rotas!$J$6:$J$17,MATCH(A36,03_Baseline_Rotas!$A$6:$A$17,0))*(IF(05_Propostas!J36="",02_Premissas!$B$10,05_Propostas!J36))+IF(MAX(INDEX(03_Baseline_Rotas!$G$6:$G$17,MATCH(A36,03_Baseline_Rotas!$A$6:$A$17,0)),INDEX(03_Baseline_Rotas!$H$6:$H$17,MATCH(A36,03_Baseline_Rotas!$A$6:$A$17,0))*02_Premissas!$B$9)*E36&lt;INDEX(03_Baseline_Rotas!$I$6:$I$17,MATCH(A36,03_Baseline_Rotas!$A$6:$A$17,0))*05_Propostas!G36,INDEX(03_Baseline_Rotas!$I$6:$I$17,MATCH(A36,03_Baseline_Rotas!$A$6:$A$17,0))*05_Propostas!G36-MAX(INDEX(03_Baseline_Rotas!$G$6:$G$17,MATCH(A36,03_Baseline_Rotas!$A$6:$A$17,0)),INDEX(03_Baseline_Rotas!$H$6:$H$17,MATCH(A36,03_Baseline_Rotas!$A$6:$A$17,0))*02_Premissas!$B$9)*E36,0))</f>
        <v>32400</v>
      </c>
      <c r="G36" s="32" t="n">
        <f aca="false">F36*02_Premissas!$B$8</f>
        <v>388800</v>
      </c>
      <c r="H36" s="32" t="n">
        <f aca="false">IFERROR(INDEX(03_Baseline_Rotas!$G$23:$G$34,MATCH(A36,03_Baseline_Rotas!$A$6:$A$17,0)),0)</f>
        <v>31080</v>
      </c>
      <c r="I36" s="32" t="n">
        <f aca="false">IF(D36&lt;&gt;"OK","",F36-H36)</f>
        <v>1320</v>
      </c>
      <c r="J36" s="42" t="n">
        <f aca="false">IF(OR(D36&lt;&gt;"OK",H36=0),"",(F36-H36)/H36)</f>
        <v>0.0424710424710425</v>
      </c>
      <c r="K36" s="31" t="n">
        <f aca="false">05_Propostas!H36</f>
        <v>10</v>
      </c>
      <c r="L36" s="42" t="n">
        <f aca="false">05_Propostas!I36</f>
        <v>0.88</v>
      </c>
      <c r="M36" s="43" t="str">
        <f aca="false">IF(D36&lt;&gt;"OK","",IF(E36&lt;02_Premissas!$B$16*INDEX(03_Baseline_Rotas!$K$6:$K$17,MATCH(A36,03_Baseline_Rotas!$A$6:$A$17,0)),"DUMP","OK"))</f>
        <v>OK</v>
      </c>
      <c r="N36" s="44" t="str">
        <f aca="false">IF(OR(D36&lt;&gt;"OK",F36=0),"",IF(ABS(F36-MIN(IF(D12="OK",F12,9900000000),IF(D24="OK",F24,9900000000),IF(D36="OK",F36,9900000000),IF(D48="OK",F48,9900000000)))&lt;0.51,"MELHOR",""))</f>
        <v/>
      </c>
    </row>
    <row r="37" customFormat="false" ht="15" hidden="false" customHeight="true" outlineLevel="0" collapsed="false">
      <c r="A37" s="30" t="str">
        <f aca="false">05_Propostas!A37</f>
        <v>L08</v>
      </c>
      <c r="B37" s="30" t="str">
        <f aca="false">05_Propostas!B37</f>
        <v>TR03</v>
      </c>
      <c r="C37" s="30" t="str">
        <f aca="false">05_Propostas!C37</f>
        <v>Nordeste Express</v>
      </c>
      <c r="D37" s="30" t="str">
        <f aca="false">05_Propostas!M37</f>
        <v>OK</v>
      </c>
      <c r="E37" s="33" t="n">
        <f aca="false">05_Propostas!E37</f>
        <v>0.44</v>
      </c>
      <c r="F37" s="32" t="n">
        <f aca="false">IF(D37&lt;&gt;"OK",0,MAX(INDEX(03_Baseline_Rotas!$G$6:$G$17,MATCH(A37,03_Baseline_Rotas!$A$6:$A$17,0)),INDEX(03_Baseline_Rotas!$H$6:$H$17,MATCH(A37,03_Baseline_Rotas!$A$6:$A$17,0))*02_Premissas!$B$9)*E37+INDEX(03_Baseline_Rotas!$I$6:$I$17,MATCH(A37,03_Baseline_Rotas!$A$6:$A$17,0))*05_Propostas!F37+INDEX(03_Baseline_Rotas!$J$6:$J$17,MATCH(A37,03_Baseline_Rotas!$A$6:$A$17,0))*(IF(05_Propostas!J37="",02_Premissas!$B$10,05_Propostas!J37))+IF(MAX(INDEX(03_Baseline_Rotas!$G$6:$G$17,MATCH(A37,03_Baseline_Rotas!$A$6:$A$17,0)),INDEX(03_Baseline_Rotas!$H$6:$H$17,MATCH(A37,03_Baseline_Rotas!$A$6:$A$17,0))*02_Premissas!$B$9)*E37&lt;INDEX(03_Baseline_Rotas!$I$6:$I$17,MATCH(A37,03_Baseline_Rotas!$A$6:$A$17,0))*05_Propostas!G37,INDEX(03_Baseline_Rotas!$I$6:$I$17,MATCH(A37,03_Baseline_Rotas!$A$6:$A$17,0))*05_Propostas!G37-MAX(INDEX(03_Baseline_Rotas!$G$6:$G$17,MATCH(A37,03_Baseline_Rotas!$A$6:$A$17,0)),INDEX(03_Baseline_Rotas!$H$6:$H$17,MATCH(A37,03_Baseline_Rotas!$A$6:$A$17,0))*02_Premissas!$B$9)*E37,0))</f>
        <v>43920</v>
      </c>
      <c r="G37" s="32" t="n">
        <f aca="false">F37*02_Premissas!$B$8</f>
        <v>527040</v>
      </c>
      <c r="H37" s="32" t="n">
        <f aca="false">IFERROR(INDEX(03_Baseline_Rotas!$G$23:$G$34,MATCH(A37,03_Baseline_Rotas!$A$6:$A$17,0)),0)</f>
        <v>41280</v>
      </c>
      <c r="I37" s="32" t="n">
        <f aca="false">IF(D37&lt;&gt;"OK","",F37-H37)</f>
        <v>2640</v>
      </c>
      <c r="J37" s="42" t="n">
        <f aca="false">IF(OR(D37&lt;&gt;"OK",H37=0),"",(F37-H37)/H37)</f>
        <v>0.063953488372093</v>
      </c>
      <c r="K37" s="31" t="n">
        <f aca="false">05_Propostas!H37</f>
        <v>18</v>
      </c>
      <c r="L37" s="42" t="n">
        <f aca="false">05_Propostas!I37</f>
        <v>0.87</v>
      </c>
      <c r="M37" s="43" t="str">
        <f aca="false">IF(D37&lt;&gt;"OK","",IF(E37&lt;02_Premissas!$B$16*INDEX(03_Baseline_Rotas!$K$6:$K$17,MATCH(A37,03_Baseline_Rotas!$A$6:$A$17,0)),"DUMP","OK"))</f>
        <v>OK</v>
      </c>
      <c r="N37" s="44" t="str">
        <f aca="false">IF(OR(D37&lt;&gt;"OK",F37=0),"",IF(ABS(F37-MIN(IF(D13="OK",F13,9900000000),IF(D25="OK",F25,9900000000),IF(D37="OK",F37,9900000000),IF(D49="OK",F49,9900000000)))&lt;0.51,"MELHOR",""))</f>
        <v/>
      </c>
    </row>
    <row r="38" customFormat="false" ht="15" hidden="false" customHeight="true" outlineLevel="0" collapsed="false">
      <c r="A38" s="30" t="str">
        <f aca="false">05_Propostas!A38</f>
        <v>L09</v>
      </c>
      <c r="B38" s="30" t="str">
        <f aca="false">05_Propostas!B38</f>
        <v>TR03</v>
      </c>
      <c r="C38" s="30" t="str">
        <f aca="false">05_Propostas!C38</f>
        <v>Nordeste Express</v>
      </c>
      <c r="D38" s="30" t="str">
        <f aca="false">05_Propostas!M38</f>
        <v>FORA_MALHA</v>
      </c>
      <c r="E38" s="33" t="n">
        <f aca="false">05_Propostas!E38</f>
        <v>0</v>
      </c>
      <c r="F38" s="32" t="n">
        <f aca="false">IF(D38&lt;&gt;"OK",0,MAX(INDEX(03_Baseline_Rotas!$G$6:$G$17,MATCH(A38,03_Baseline_Rotas!$A$6:$A$17,0)),INDEX(03_Baseline_Rotas!$H$6:$H$17,MATCH(A38,03_Baseline_Rotas!$A$6:$A$17,0))*02_Premissas!$B$9)*E38+INDEX(03_Baseline_Rotas!$I$6:$I$17,MATCH(A38,03_Baseline_Rotas!$A$6:$A$17,0))*05_Propostas!F38+INDEX(03_Baseline_Rotas!$J$6:$J$17,MATCH(A38,03_Baseline_Rotas!$A$6:$A$17,0))*(IF(05_Propostas!J38="",02_Premissas!$B$10,05_Propostas!J38))+IF(MAX(INDEX(03_Baseline_Rotas!$G$6:$G$17,MATCH(A38,03_Baseline_Rotas!$A$6:$A$17,0)),INDEX(03_Baseline_Rotas!$H$6:$H$17,MATCH(A38,03_Baseline_Rotas!$A$6:$A$17,0))*02_Premissas!$B$9)*E38&lt;INDEX(03_Baseline_Rotas!$I$6:$I$17,MATCH(A38,03_Baseline_Rotas!$A$6:$A$17,0))*05_Propostas!G38,INDEX(03_Baseline_Rotas!$I$6:$I$17,MATCH(A38,03_Baseline_Rotas!$A$6:$A$17,0))*05_Propostas!G38-MAX(INDEX(03_Baseline_Rotas!$G$6:$G$17,MATCH(A38,03_Baseline_Rotas!$A$6:$A$17,0)),INDEX(03_Baseline_Rotas!$H$6:$H$17,MATCH(A38,03_Baseline_Rotas!$A$6:$A$17,0))*02_Premissas!$B$9)*E38,0))</f>
        <v>0</v>
      </c>
      <c r="G38" s="32" t="n">
        <f aca="false">F38*02_Premissas!$B$8</f>
        <v>0</v>
      </c>
      <c r="H38" s="32" t="n">
        <f aca="false">IFERROR(INDEX(03_Baseline_Rotas!$G$23:$G$34,MATCH(A38,03_Baseline_Rotas!$A$6:$A$17,0)),0)</f>
        <v>122850</v>
      </c>
      <c r="I38" s="32" t="str">
        <f aca="false">IF(D38&lt;&gt;"OK","",F38-H38)</f>
        <v/>
      </c>
      <c r="J38" s="42" t="str">
        <f aca="false">IF(OR(D38&lt;&gt;"OK",H38=0),"",(F38-H38)/H38)</f>
        <v/>
      </c>
      <c r="K38" s="31" t="n">
        <f aca="false">05_Propostas!H38</f>
        <v>0</v>
      </c>
      <c r="L38" s="42" t="n">
        <f aca="false">05_Propostas!I38</f>
        <v>0</v>
      </c>
      <c r="M38" s="43" t="str">
        <f aca="false">IF(D38&lt;&gt;"OK","",IF(E38&lt;02_Premissas!$B$16*INDEX(03_Baseline_Rotas!$K$6:$K$17,MATCH(A38,03_Baseline_Rotas!$A$6:$A$17,0)),"DUMP","OK"))</f>
        <v/>
      </c>
      <c r="N38" s="44" t="str">
        <f aca="false">IF(OR(D38&lt;&gt;"OK",F38=0),"",IF(ABS(F38-MIN(IF(D14="OK",F14,9900000000),IF(D26="OK",F26,9900000000),IF(D38="OK",F38,9900000000),IF(D50="OK",F50,9900000000)))&lt;0.51,"MELHOR",""))</f>
        <v/>
      </c>
    </row>
    <row r="39" customFormat="false" ht="15" hidden="false" customHeight="true" outlineLevel="0" collapsed="false">
      <c r="A39" s="30" t="str">
        <f aca="false">05_Propostas!A39</f>
        <v>L10</v>
      </c>
      <c r="B39" s="30" t="str">
        <f aca="false">05_Propostas!B39</f>
        <v>TR03</v>
      </c>
      <c r="C39" s="30" t="str">
        <f aca="false">05_Propostas!C39</f>
        <v>Nordeste Express</v>
      </c>
      <c r="D39" s="30" t="str">
        <f aca="false">05_Propostas!M39</f>
        <v>FORA_MALHA</v>
      </c>
      <c r="E39" s="33" t="n">
        <f aca="false">05_Propostas!E39</f>
        <v>0</v>
      </c>
      <c r="F39" s="32" t="n">
        <f aca="false">IF(D39&lt;&gt;"OK",0,MAX(INDEX(03_Baseline_Rotas!$G$6:$G$17,MATCH(A39,03_Baseline_Rotas!$A$6:$A$17,0)),INDEX(03_Baseline_Rotas!$H$6:$H$17,MATCH(A39,03_Baseline_Rotas!$A$6:$A$17,0))*02_Premissas!$B$9)*E39+INDEX(03_Baseline_Rotas!$I$6:$I$17,MATCH(A39,03_Baseline_Rotas!$A$6:$A$17,0))*05_Propostas!F39+INDEX(03_Baseline_Rotas!$J$6:$J$17,MATCH(A39,03_Baseline_Rotas!$A$6:$A$17,0))*(IF(05_Propostas!J39="",02_Premissas!$B$10,05_Propostas!J39))+IF(MAX(INDEX(03_Baseline_Rotas!$G$6:$G$17,MATCH(A39,03_Baseline_Rotas!$A$6:$A$17,0)),INDEX(03_Baseline_Rotas!$H$6:$H$17,MATCH(A39,03_Baseline_Rotas!$A$6:$A$17,0))*02_Premissas!$B$9)*E39&lt;INDEX(03_Baseline_Rotas!$I$6:$I$17,MATCH(A39,03_Baseline_Rotas!$A$6:$A$17,0))*05_Propostas!G39,INDEX(03_Baseline_Rotas!$I$6:$I$17,MATCH(A39,03_Baseline_Rotas!$A$6:$A$17,0))*05_Propostas!G39-MAX(INDEX(03_Baseline_Rotas!$G$6:$G$17,MATCH(A39,03_Baseline_Rotas!$A$6:$A$17,0)),INDEX(03_Baseline_Rotas!$H$6:$H$17,MATCH(A39,03_Baseline_Rotas!$A$6:$A$17,0))*02_Premissas!$B$9)*E39,0))</f>
        <v>0</v>
      </c>
      <c r="G39" s="32" t="n">
        <f aca="false">F39*02_Premissas!$B$8</f>
        <v>0</v>
      </c>
      <c r="H39" s="32" t="n">
        <f aca="false">IFERROR(INDEX(03_Baseline_Rotas!$G$23:$G$34,MATCH(A39,03_Baseline_Rotas!$A$6:$A$17,0)),0)</f>
        <v>61170</v>
      </c>
      <c r="I39" s="32" t="str">
        <f aca="false">IF(D39&lt;&gt;"OK","",F39-H39)</f>
        <v/>
      </c>
      <c r="J39" s="42" t="str">
        <f aca="false">IF(OR(D39&lt;&gt;"OK",H39=0),"",(F39-H39)/H39)</f>
        <v/>
      </c>
      <c r="K39" s="31" t="n">
        <f aca="false">05_Propostas!H39</f>
        <v>0</v>
      </c>
      <c r="L39" s="42" t="n">
        <f aca="false">05_Propostas!I39</f>
        <v>0</v>
      </c>
      <c r="M39" s="43" t="str">
        <f aca="false">IF(D39&lt;&gt;"OK","",IF(E39&lt;02_Premissas!$B$16*INDEX(03_Baseline_Rotas!$K$6:$K$17,MATCH(A39,03_Baseline_Rotas!$A$6:$A$17,0)),"DUMP","OK"))</f>
        <v/>
      </c>
      <c r="N39" s="44" t="str">
        <f aca="false">IF(OR(D39&lt;&gt;"OK",F39=0),"",IF(ABS(F39-MIN(IF(D15="OK",F15,9900000000),IF(D27="OK",F27,9900000000),IF(D39="OK",F39,9900000000),IF(D51="OK",F51,9900000000)))&lt;0.51,"MELHOR",""))</f>
        <v/>
      </c>
    </row>
    <row r="40" customFormat="false" ht="15" hidden="false" customHeight="true" outlineLevel="0" collapsed="false">
      <c r="A40" s="30" t="str">
        <f aca="false">05_Propostas!A40</f>
        <v>L11</v>
      </c>
      <c r="B40" s="30" t="str">
        <f aca="false">05_Propostas!B40</f>
        <v>TR03</v>
      </c>
      <c r="C40" s="30" t="str">
        <f aca="false">05_Propostas!C40</f>
        <v>Nordeste Express</v>
      </c>
      <c r="D40" s="30" t="str">
        <f aca="false">05_Propostas!M40</f>
        <v>OK</v>
      </c>
      <c r="E40" s="33" t="n">
        <f aca="false">05_Propostas!E40</f>
        <v>0.43</v>
      </c>
      <c r="F40" s="32" t="n">
        <f aca="false">IF(D40&lt;&gt;"OK",0,MAX(INDEX(03_Baseline_Rotas!$G$6:$G$17,MATCH(A40,03_Baseline_Rotas!$A$6:$A$17,0)),INDEX(03_Baseline_Rotas!$H$6:$H$17,MATCH(A40,03_Baseline_Rotas!$A$6:$A$17,0))*02_Premissas!$B$9)*E40+INDEX(03_Baseline_Rotas!$I$6:$I$17,MATCH(A40,03_Baseline_Rotas!$A$6:$A$17,0))*05_Propostas!F40+INDEX(03_Baseline_Rotas!$J$6:$J$17,MATCH(A40,03_Baseline_Rotas!$A$6:$A$17,0))*(IF(05_Propostas!J40="",02_Premissas!$B$10,05_Propostas!J40))+IF(MAX(INDEX(03_Baseline_Rotas!$G$6:$G$17,MATCH(A40,03_Baseline_Rotas!$A$6:$A$17,0)),INDEX(03_Baseline_Rotas!$H$6:$H$17,MATCH(A40,03_Baseline_Rotas!$A$6:$A$17,0))*02_Premissas!$B$9)*E40&lt;INDEX(03_Baseline_Rotas!$I$6:$I$17,MATCH(A40,03_Baseline_Rotas!$A$6:$A$17,0))*05_Propostas!G40,INDEX(03_Baseline_Rotas!$I$6:$I$17,MATCH(A40,03_Baseline_Rotas!$A$6:$A$17,0))*05_Propostas!G40-MAX(INDEX(03_Baseline_Rotas!$G$6:$G$17,MATCH(A40,03_Baseline_Rotas!$A$6:$A$17,0)),INDEX(03_Baseline_Rotas!$H$6:$H$17,MATCH(A40,03_Baseline_Rotas!$A$6:$A$17,0))*02_Premissas!$B$9)*E40,0))</f>
        <v>39810</v>
      </c>
      <c r="G40" s="32" t="n">
        <f aca="false">F40*02_Premissas!$B$8</f>
        <v>477720</v>
      </c>
      <c r="H40" s="32" t="n">
        <f aca="false">IFERROR(INDEX(03_Baseline_Rotas!$G$23:$G$34,MATCH(A40,03_Baseline_Rotas!$A$6:$A$17,0)),0)</f>
        <v>44490</v>
      </c>
      <c r="I40" s="32" t="n">
        <f aca="false">IF(D40&lt;&gt;"OK","",F40-H40)</f>
        <v>-4680</v>
      </c>
      <c r="J40" s="42" t="n">
        <f aca="false">IF(OR(D40&lt;&gt;"OK",H40=0),"",(F40-H40)/H40)</f>
        <v>-0.105192178017532</v>
      </c>
      <c r="K40" s="31" t="n">
        <f aca="false">05_Propostas!H40</f>
        <v>16</v>
      </c>
      <c r="L40" s="42" t="n">
        <f aca="false">05_Propostas!I40</f>
        <v>0.93</v>
      </c>
      <c r="M40" s="43" t="str">
        <f aca="false">IF(D40&lt;&gt;"OK","",IF(E40&lt;02_Premissas!$B$16*INDEX(03_Baseline_Rotas!$K$6:$K$17,MATCH(A40,03_Baseline_Rotas!$A$6:$A$17,0)),"DUMP","OK"))</f>
        <v>OK</v>
      </c>
      <c r="N40" s="44" t="str">
        <f aca="false">IF(OR(D40&lt;&gt;"OK",F40=0),"",IF(ABS(F40-MIN(IF(D16="OK",F16,9900000000),IF(D28="OK",F28,9900000000),IF(D40="OK",F40,9900000000),IF(D52="OK",F52,9900000000)))&lt;0.51,"MELHOR",""))</f>
        <v>MELHOR</v>
      </c>
    </row>
    <row r="41" customFormat="false" ht="15" hidden="false" customHeight="true" outlineLevel="0" collapsed="false">
      <c r="A41" s="30" t="str">
        <f aca="false">05_Propostas!A41</f>
        <v>L12</v>
      </c>
      <c r="B41" s="30" t="str">
        <f aca="false">05_Propostas!B41</f>
        <v>TR03</v>
      </c>
      <c r="C41" s="30" t="str">
        <f aca="false">05_Propostas!C41</f>
        <v>Nordeste Express</v>
      </c>
      <c r="D41" s="30" t="str">
        <f aca="false">05_Propostas!M41</f>
        <v>OK</v>
      </c>
      <c r="E41" s="33" t="n">
        <f aca="false">05_Propostas!E41</f>
        <v>0.41</v>
      </c>
      <c r="F41" s="32" t="n">
        <f aca="false">IF(D41&lt;&gt;"OK",0,MAX(INDEX(03_Baseline_Rotas!$G$6:$G$17,MATCH(A41,03_Baseline_Rotas!$A$6:$A$17,0)),INDEX(03_Baseline_Rotas!$H$6:$H$17,MATCH(A41,03_Baseline_Rotas!$A$6:$A$17,0))*02_Premissas!$B$9)*E41+INDEX(03_Baseline_Rotas!$I$6:$I$17,MATCH(A41,03_Baseline_Rotas!$A$6:$A$17,0))*05_Propostas!F41+INDEX(03_Baseline_Rotas!$J$6:$J$17,MATCH(A41,03_Baseline_Rotas!$A$6:$A$17,0))*(IF(05_Propostas!J41="",02_Premissas!$B$10,05_Propostas!J41))+IF(MAX(INDEX(03_Baseline_Rotas!$G$6:$G$17,MATCH(A41,03_Baseline_Rotas!$A$6:$A$17,0)),INDEX(03_Baseline_Rotas!$H$6:$H$17,MATCH(A41,03_Baseline_Rotas!$A$6:$A$17,0))*02_Premissas!$B$9)*E41&lt;INDEX(03_Baseline_Rotas!$I$6:$I$17,MATCH(A41,03_Baseline_Rotas!$A$6:$A$17,0))*05_Propostas!G41,INDEX(03_Baseline_Rotas!$I$6:$I$17,MATCH(A41,03_Baseline_Rotas!$A$6:$A$17,0))*05_Propostas!G41-MAX(INDEX(03_Baseline_Rotas!$G$6:$G$17,MATCH(A41,03_Baseline_Rotas!$A$6:$A$17,0)),INDEX(03_Baseline_Rotas!$H$6:$H$17,MATCH(A41,03_Baseline_Rotas!$A$6:$A$17,0))*02_Premissas!$B$9)*E41,0))</f>
        <v>25550</v>
      </c>
      <c r="G41" s="32" t="n">
        <f aca="false">F41*02_Premissas!$B$8</f>
        <v>306600</v>
      </c>
      <c r="H41" s="32" t="n">
        <f aca="false">IFERROR(INDEX(03_Baseline_Rotas!$G$23:$G$34,MATCH(A41,03_Baseline_Rotas!$A$6:$A$17,0)),0)</f>
        <v>28220</v>
      </c>
      <c r="I41" s="32" t="n">
        <f aca="false">IF(D41&lt;&gt;"OK","",F41-H41)</f>
        <v>-2670</v>
      </c>
      <c r="J41" s="42" t="n">
        <f aca="false">IF(OR(D41&lt;&gt;"OK",H41=0),"",(F41-H41)/H41)</f>
        <v>-0.0946137491141035</v>
      </c>
      <c r="K41" s="31" t="n">
        <f aca="false">05_Propostas!H41</f>
        <v>14</v>
      </c>
      <c r="L41" s="42" t="n">
        <f aca="false">05_Propostas!I41</f>
        <v>0.93</v>
      </c>
      <c r="M41" s="43" t="str">
        <f aca="false">IF(D41&lt;&gt;"OK","",IF(E41&lt;02_Premissas!$B$16*INDEX(03_Baseline_Rotas!$K$6:$K$17,MATCH(A41,03_Baseline_Rotas!$A$6:$A$17,0)),"DUMP","OK"))</f>
        <v>OK</v>
      </c>
      <c r="N41" s="44" t="str">
        <f aca="false">IF(OR(D41&lt;&gt;"OK",F41=0),"",IF(ABS(F41-MIN(IF(D17="OK",F17,9900000000),IF(D29="OK",F29,9900000000),IF(D41="OK",F41,9900000000),IF(D53="OK",F53,9900000000)))&lt;0.51,"MELHOR",""))</f>
        <v>MELHOR</v>
      </c>
    </row>
    <row r="42" customFormat="false" ht="15" hidden="false" customHeight="true" outlineLevel="0" collapsed="false">
      <c r="A42" s="30" t="str">
        <f aca="false">05_Propostas!A42</f>
        <v>L01</v>
      </c>
      <c r="B42" s="30" t="str">
        <f aca="false">05_Propostas!B42</f>
        <v>TR04</v>
      </c>
      <c r="C42" s="30" t="str">
        <f aca="false">05_Propostas!C42</f>
        <v>Prime Mile SP</v>
      </c>
      <c r="D42" s="30" t="str">
        <f aca="false">05_Propostas!M42</f>
        <v>FORA_MALHA</v>
      </c>
      <c r="E42" s="33" t="n">
        <f aca="false">05_Propostas!E42</f>
        <v>0</v>
      </c>
      <c r="F42" s="32" t="n">
        <f aca="false">IF(D42&lt;&gt;"OK",0,MAX(INDEX(03_Baseline_Rotas!$G$6:$G$17,MATCH(A42,03_Baseline_Rotas!$A$6:$A$17,0)),INDEX(03_Baseline_Rotas!$H$6:$H$17,MATCH(A42,03_Baseline_Rotas!$A$6:$A$17,0))*02_Premissas!$B$9)*E42+INDEX(03_Baseline_Rotas!$I$6:$I$17,MATCH(A42,03_Baseline_Rotas!$A$6:$A$17,0))*05_Propostas!F42+INDEX(03_Baseline_Rotas!$J$6:$J$17,MATCH(A42,03_Baseline_Rotas!$A$6:$A$17,0))*(IF(05_Propostas!J42="",02_Premissas!$B$10,05_Propostas!J42))+IF(MAX(INDEX(03_Baseline_Rotas!$G$6:$G$17,MATCH(A42,03_Baseline_Rotas!$A$6:$A$17,0)),INDEX(03_Baseline_Rotas!$H$6:$H$17,MATCH(A42,03_Baseline_Rotas!$A$6:$A$17,0))*02_Premissas!$B$9)*E42&lt;INDEX(03_Baseline_Rotas!$I$6:$I$17,MATCH(A42,03_Baseline_Rotas!$A$6:$A$17,0))*05_Propostas!G42,INDEX(03_Baseline_Rotas!$I$6:$I$17,MATCH(A42,03_Baseline_Rotas!$A$6:$A$17,0))*05_Propostas!G42-MAX(INDEX(03_Baseline_Rotas!$G$6:$G$17,MATCH(A42,03_Baseline_Rotas!$A$6:$A$17,0)),INDEX(03_Baseline_Rotas!$H$6:$H$17,MATCH(A42,03_Baseline_Rotas!$A$6:$A$17,0))*02_Premissas!$B$9)*E42,0))</f>
        <v>0</v>
      </c>
      <c r="G42" s="32" t="n">
        <f aca="false">F42*02_Premissas!$B$8</f>
        <v>0</v>
      </c>
      <c r="H42" s="32" t="n">
        <f aca="false">IFERROR(INDEX(03_Baseline_Rotas!$G$23:$G$34,MATCH(A42,03_Baseline_Rotas!$A$6:$A$17,0)),0)</f>
        <v>106260</v>
      </c>
      <c r="I42" s="32" t="str">
        <f aca="false">IF(D42&lt;&gt;"OK","",F42-H42)</f>
        <v/>
      </c>
      <c r="J42" s="42" t="str">
        <f aca="false">IF(OR(D42&lt;&gt;"OK",H42=0),"",(F42-H42)/H42)</f>
        <v/>
      </c>
      <c r="K42" s="31" t="n">
        <f aca="false">05_Propostas!H42</f>
        <v>0</v>
      </c>
      <c r="L42" s="42" t="n">
        <f aca="false">05_Propostas!I42</f>
        <v>0</v>
      </c>
      <c r="M42" s="43" t="str">
        <f aca="false">IF(D42&lt;&gt;"OK","",IF(E42&lt;02_Premissas!$B$16*INDEX(03_Baseline_Rotas!$K$6:$K$17,MATCH(A42,03_Baseline_Rotas!$A$6:$A$17,0)),"DUMP","OK"))</f>
        <v/>
      </c>
      <c r="N42" s="44" t="str">
        <f aca="false">IF(OR(D42&lt;&gt;"OK",F42=0),"",IF(ABS(F42-MIN(IF(D6="OK",F6,9900000000),IF(D18="OK",F18,9900000000),IF(D30="OK",F30,9900000000),IF(D42="OK",F42,9900000000)))&lt;0.51,"MELHOR",""))</f>
        <v/>
      </c>
    </row>
    <row r="43" customFormat="false" ht="15" hidden="false" customHeight="true" outlineLevel="0" collapsed="false">
      <c r="A43" s="30" t="str">
        <f aca="false">05_Propostas!A43</f>
        <v>L02</v>
      </c>
      <c r="B43" s="30" t="str">
        <f aca="false">05_Propostas!B43</f>
        <v>TR04</v>
      </c>
      <c r="C43" s="30" t="str">
        <f aca="false">05_Propostas!C43</f>
        <v>Prime Mile SP</v>
      </c>
      <c r="D43" s="30" t="str">
        <f aca="false">05_Propostas!M43</f>
        <v>FORA_MALHA</v>
      </c>
      <c r="E43" s="33" t="n">
        <f aca="false">05_Propostas!E43</f>
        <v>0</v>
      </c>
      <c r="F43" s="32" t="n">
        <f aca="false">IF(D43&lt;&gt;"OK",0,MAX(INDEX(03_Baseline_Rotas!$G$6:$G$17,MATCH(A43,03_Baseline_Rotas!$A$6:$A$17,0)),INDEX(03_Baseline_Rotas!$H$6:$H$17,MATCH(A43,03_Baseline_Rotas!$A$6:$A$17,0))*02_Premissas!$B$9)*E43+INDEX(03_Baseline_Rotas!$I$6:$I$17,MATCH(A43,03_Baseline_Rotas!$A$6:$A$17,0))*05_Propostas!F43+INDEX(03_Baseline_Rotas!$J$6:$J$17,MATCH(A43,03_Baseline_Rotas!$A$6:$A$17,0))*(IF(05_Propostas!J43="",02_Premissas!$B$10,05_Propostas!J43))+IF(MAX(INDEX(03_Baseline_Rotas!$G$6:$G$17,MATCH(A43,03_Baseline_Rotas!$A$6:$A$17,0)),INDEX(03_Baseline_Rotas!$H$6:$H$17,MATCH(A43,03_Baseline_Rotas!$A$6:$A$17,0))*02_Premissas!$B$9)*E43&lt;INDEX(03_Baseline_Rotas!$I$6:$I$17,MATCH(A43,03_Baseline_Rotas!$A$6:$A$17,0))*05_Propostas!G43,INDEX(03_Baseline_Rotas!$I$6:$I$17,MATCH(A43,03_Baseline_Rotas!$A$6:$A$17,0))*05_Propostas!G43-MAX(INDEX(03_Baseline_Rotas!$G$6:$G$17,MATCH(A43,03_Baseline_Rotas!$A$6:$A$17,0)),INDEX(03_Baseline_Rotas!$H$6:$H$17,MATCH(A43,03_Baseline_Rotas!$A$6:$A$17,0))*02_Premissas!$B$9)*E43,0))</f>
        <v>0</v>
      </c>
      <c r="G43" s="32" t="n">
        <f aca="false">F43*02_Premissas!$B$8</f>
        <v>0</v>
      </c>
      <c r="H43" s="32" t="n">
        <f aca="false">IFERROR(INDEX(03_Baseline_Rotas!$G$23:$G$34,MATCH(A43,03_Baseline_Rotas!$A$6:$A$17,0)),0)</f>
        <v>85700</v>
      </c>
      <c r="I43" s="32" t="str">
        <f aca="false">IF(D43&lt;&gt;"OK","",F43-H43)</f>
        <v/>
      </c>
      <c r="J43" s="42" t="str">
        <f aca="false">IF(OR(D43&lt;&gt;"OK",H43=0),"",(F43-H43)/H43)</f>
        <v/>
      </c>
      <c r="K43" s="31" t="n">
        <f aca="false">05_Propostas!H43</f>
        <v>0</v>
      </c>
      <c r="L43" s="42" t="n">
        <f aca="false">05_Propostas!I43</f>
        <v>0</v>
      </c>
      <c r="M43" s="43" t="str">
        <f aca="false">IF(D43&lt;&gt;"OK","",IF(E43&lt;02_Premissas!$B$16*INDEX(03_Baseline_Rotas!$K$6:$K$17,MATCH(A43,03_Baseline_Rotas!$A$6:$A$17,0)),"DUMP","OK"))</f>
        <v/>
      </c>
      <c r="N43" s="44" t="str">
        <f aca="false">IF(OR(D43&lt;&gt;"OK",F43=0),"",IF(ABS(F43-MIN(IF(D7="OK",F7,9900000000),IF(D19="OK",F19,9900000000),IF(D31="OK",F31,9900000000),IF(D43="OK",F43,9900000000)))&lt;0.51,"MELHOR",""))</f>
        <v/>
      </c>
    </row>
    <row r="44" customFormat="false" ht="15" hidden="false" customHeight="true" outlineLevel="0" collapsed="false">
      <c r="A44" s="30" t="str">
        <f aca="false">05_Propostas!A44</f>
        <v>L03</v>
      </c>
      <c r="B44" s="30" t="str">
        <f aca="false">05_Propostas!B44</f>
        <v>TR04</v>
      </c>
      <c r="C44" s="30" t="str">
        <f aca="false">05_Propostas!C44</f>
        <v>Prime Mile SP</v>
      </c>
      <c r="D44" s="30" t="str">
        <f aca="false">05_Propostas!M44</f>
        <v>FORA_MALHA</v>
      </c>
      <c r="E44" s="33" t="n">
        <f aca="false">05_Propostas!E44</f>
        <v>0</v>
      </c>
      <c r="F44" s="32" t="n">
        <f aca="false">IF(D44&lt;&gt;"OK",0,MAX(INDEX(03_Baseline_Rotas!$G$6:$G$17,MATCH(A44,03_Baseline_Rotas!$A$6:$A$17,0)),INDEX(03_Baseline_Rotas!$H$6:$H$17,MATCH(A44,03_Baseline_Rotas!$A$6:$A$17,0))*02_Premissas!$B$9)*E44+INDEX(03_Baseline_Rotas!$I$6:$I$17,MATCH(A44,03_Baseline_Rotas!$A$6:$A$17,0))*05_Propostas!F44+INDEX(03_Baseline_Rotas!$J$6:$J$17,MATCH(A44,03_Baseline_Rotas!$A$6:$A$17,0))*(IF(05_Propostas!J44="",02_Premissas!$B$10,05_Propostas!J44))+IF(MAX(INDEX(03_Baseline_Rotas!$G$6:$G$17,MATCH(A44,03_Baseline_Rotas!$A$6:$A$17,0)),INDEX(03_Baseline_Rotas!$H$6:$H$17,MATCH(A44,03_Baseline_Rotas!$A$6:$A$17,0))*02_Premissas!$B$9)*E44&lt;INDEX(03_Baseline_Rotas!$I$6:$I$17,MATCH(A44,03_Baseline_Rotas!$A$6:$A$17,0))*05_Propostas!G44,INDEX(03_Baseline_Rotas!$I$6:$I$17,MATCH(A44,03_Baseline_Rotas!$A$6:$A$17,0))*05_Propostas!G44-MAX(INDEX(03_Baseline_Rotas!$G$6:$G$17,MATCH(A44,03_Baseline_Rotas!$A$6:$A$17,0)),INDEX(03_Baseline_Rotas!$H$6:$H$17,MATCH(A44,03_Baseline_Rotas!$A$6:$A$17,0))*02_Premissas!$B$9)*E44,0))</f>
        <v>0</v>
      </c>
      <c r="G44" s="32" t="n">
        <f aca="false">F44*02_Premissas!$B$8</f>
        <v>0</v>
      </c>
      <c r="H44" s="32" t="n">
        <f aca="false">IFERROR(INDEX(03_Baseline_Rotas!$G$23:$G$34,MATCH(A44,03_Baseline_Rotas!$A$6:$A$17,0)),0)</f>
        <v>56730</v>
      </c>
      <c r="I44" s="32" t="str">
        <f aca="false">IF(D44&lt;&gt;"OK","",F44-H44)</f>
        <v/>
      </c>
      <c r="J44" s="42" t="str">
        <f aca="false">IF(OR(D44&lt;&gt;"OK",H44=0),"",(F44-H44)/H44)</f>
        <v/>
      </c>
      <c r="K44" s="31" t="n">
        <f aca="false">05_Propostas!H44</f>
        <v>0</v>
      </c>
      <c r="L44" s="42" t="n">
        <f aca="false">05_Propostas!I44</f>
        <v>0</v>
      </c>
      <c r="M44" s="43" t="str">
        <f aca="false">IF(D44&lt;&gt;"OK","",IF(E44&lt;02_Premissas!$B$16*INDEX(03_Baseline_Rotas!$K$6:$K$17,MATCH(A44,03_Baseline_Rotas!$A$6:$A$17,0)),"DUMP","OK"))</f>
        <v/>
      </c>
      <c r="N44" s="44" t="str">
        <f aca="false">IF(OR(D44&lt;&gt;"OK",F44=0),"",IF(ABS(F44-MIN(IF(D8="OK",F8,9900000000),IF(D20="OK",F20,9900000000),IF(D32="OK",F32,9900000000),IF(D44="OK",F44,9900000000)))&lt;0.51,"MELHOR",""))</f>
        <v/>
      </c>
    </row>
    <row r="45" customFormat="false" ht="15" hidden="false" customHeight="true" outlineLevel="0" collapsed="false">
      <c r="A45" s="30" t="str">
        <f aca="false">05_Propostas!A45</f>
        <v>L04</v>
      </c>
      <c r="B45" s="30" t="str">
        <f aca="false">05_Propostas!B45</f>
        <v>TR04</v>
      </c>
      <c r="C45" s="30" t="str">
        <f aca="false">05_Propostas!C45</f>
        <v>Prime Mile SP</v>
      </c>
      <c r="D45" s="30" t="str">
        <f aca="false">05_Propostas!M45</f>
        <v>FORA_MALHA</v>
      </c>
      <c r="E45" s="33" t="n">
        <f aca="false">05_Propostas!E45</f>
        <v>0</v>
      </c>
      <c r="F45" s="32" t="n">
        <f aca="false">IF(D45&lt;&gt;"OK",0,MAX(INDEX(03_Baseline_Rotas!$G$6:$G$17,MATCH(A45,03_Baseline_Rotas!$A$6:$A$17,0)),INDEX(03_Baseline_Rotas!$H$6:$H$17,MATCH(A45,03_Baseline_Rotas!$A$6:$A$17,0))*02_Premissas!$B$9)*E45+INDEX(03_Baseline_Rotas!$I$6:$I$17,MATCH(A45,03_Baseline_Rotas!$A$6:$A$17,0))*05_Propostas!F45+INDEX(03_Baseline_Rotas!$J$6:$J$17,MATCH(A45,03_Baseline_Rotas!$A$6:$A$17,0))*(IF(05_Propostas!J45="",02_Premissas!$B$10,05_Propostas!J45))+IF(MAX(INDEX(03_Baseline_Rotas!$G$6:$G$17,MATCH(A45,03_Baseline_Rotas!$A$6:$A$17,0)),INDEX(03_Baseline_Rotas!$H$6:$H$17,MATCH(A45,03_Baseline_Rotas!$A$6:$A$17,0))*02_Premissas!$B$9)*E45&lt;INDEX(03_Baseline_Rotas!$I$6:$I$17,MATCH(A45,03_Baseline_Rotas!$A$6:$A$17,0))*05_Propostas!G45,INDEX(03_Baseline_Rotas!$I$6:$I$17,MATCH(A45,03_Baseline_Rotas!$A$6:$A$17,0))*05_Propostas!G45-MAX(INDEX(03_Baseline_Rotas!$G$6:$G$17,MATCH(A45,03_Baseline_Rotas!$A$6:$A$17,0)),INDEX(03_Baseline_Rotas!$H$6:$H$17,MATCH(A45,03_Baseline_Rotas!$A$6:$A$17,0))*02_Premissas!$B$9)*E45,0))</f>
        <v>0</v>
      </c>
      <c r="G45" s="32" t="n">
        <f aca="false">F45*02_Premissas!$B$8</f>
        <v>0</v>
      </c>
      <c r="H45" s="32" t="n">
        <f aca="false">IFERROR(INDEX(03_Baseline_Rotas!$G$23:$G$34,MATCH(A45,03_Baseline_Rotas!$A$6:$A$17,0)),0)</f>
        <v>67050</v>
      </c>
      <c r="I45" s="32" t="str">
        <f aca="false">IF(D45&lt;&gt;"OK","",F45-H45)</f>
        <v/>
      </c>
      <c r="J45" s="42" t="str">
        <f aca="false">IF(OR(D45&lt;&gt;"OK",H45=0),"",(F45-H45)/H45)</f>
        <v/>
      </c>
      <c r="K45" s="31" t="n">
        <f aca="false">05_Propostas!H45</f>
        <v>0</v>
      </c>
      <c r="L45" s="42" t="n">
        <f aca="false">05_Propostas!I45</f>
        <v>0</v>
      </c>
      <c r="M45" s="43" t="str">
        <f aca="false">IF(D45&lt;&gt;"OK","",IF(E45&lt;02_Premissas!$B$16*INDEX(03_Baseline_Rotas!$K$6:$K$17,MATCH(A45,03_Baseline_Rotas!$A$6:$A$17,0)),"DUMP","OK"))</f>
        <v/>
      </c>
      <c r="N45" s="44" t="str">
        <f aca="false">IF(OR(D45&lt;&gt;"OK",F45=0),"",IF(ABS(F45-MIN(IF(D9="OK",F9,9900000000),IF(D21="OK",F21,9900000000),IF(D33="OK",F33,9900000000),IF(D45="OK",F45,9900000000)))&lt;0.51,"MELHOR",""))</f>
        <v/>
      </c>
    </row>
    <row r="46" customFormat="false" ht="15" hidden="false" customHeight="true" outlineLevel="0" collapsed="false">
      <c r="A46" s="30" t="str">
        <f aca="false">05_Propostas!A46</f>
        <v>L05</v>
      </c>
      <c r="B46" s="30" t="str">
        <f aca="false">05_Propostas!B46</f>
        <v>TR04</v>
      </c>
      <c r="C46" s="30" t="str">
        <f aca="false">05_Propostas!C46</f>
        <v>Prime Mile SP</v>
      </c>
      <c r="D46" s="30" t="str">
        <f aca="false">05_Propostas!M46</f>
        <v>FORA_MALHA</v>
      </c>
      <c r="E46" s="33" t="n">
        <f aca="false">05_Propostas!E46</f>
        <v>0</v>
      </c>
      <c r="F46" s="32" t="n">
        <f aca="false">IF(D46&lt;&gt;"OK",0,MAX(INDEX(03_Baseline_Rotas!$G$6:$G$17,MATCH(A46,03_Baseline_Rotas!$A$6:$A$17,0)),INDEX(03_Baseline_Rotas!$H$6:$H$17,MATCH(A46,03_Baseline_Rotas!$A$6:$A$17,0))*02_Premissas!$B$9)*E46+INDEX(03_Baseline_Rotas!$I$6:$I$17,MATCH(A46,03_Baseline_Rotas!$A$6:$A$17,0))*05_Propostas!F46+INDEX(03_Baseline_Rotas!$J$6:$J$17,MATCH(A46,03_Baseline_Rotas!$A$6:$A$17,0))*(IF(05_Propostas!J46="",02_Premissas!$B$10,05_Propostas!J46))+IF(MAX(INDEX(03_Baseline_Rotas!$G$6:$G$17,MATCH(A46,03_Baseline_Rotas!$A$6:$A$17,0)),INDEX(03_Baseline_Rotas!$H$6:$H$17,MATCH(A46,03_Baseline_Rotas!$A$6:$A$17,0))*02_Premissas!$B$9)*E46&lt;INDEX(03_Baseline_Rotas!$I$6:$I$17,MATCH(A46,03_Baseline_Rotas!$A$6:$A$17,0))*05_Propostas!G46,INDEX(03_Baseline_Rotas!$I$6:$I$17,MATCH(A46,03_Baseline_Rotas!$A$6:$A$17,0))*05_Propostas!G46-MAX(INDEX(03_Baseline_Rotas!$G$6:$G$17,MATCH(A46,03_Baseline_Rotas!$A$6:$A$17,0)),INDEX(03_Baseline_Rotas!$H$6:$H$17,MATCH(A46,03_Baseline_Rotas!$A$6:$A$17,0))*02_Premissas!$B$9)*E46,0))</f>
        <v>0</v>
      </c>
      <c r="G46" s="32" t="n">
        <f aca="false">F46*02_Premissas!$B$8</f>
        <v>0</v>
      </c>
      <c r="H46" s="32" t="n">
        <f aca="false">IFERROR(INDEX(03_Baseline_Rotas!$G$23:$G$34,MATCH(A46,03_Baseline_Rotas!$A$6:$A$17,0)),0)</f>
        <v>66770</v>
      </c>
      <c r="I46" s="32" t="str">
        <f aca="false">IF(D46&lt;&gt;"OK","",F46-H46)</f>
        <v/>
      </c>
      <c r="J46" s="42" t="str">
        <f aca="false">IF(OR(D46&lt;&gt;"OK",H46=0),"",(F46-H46)/H46)</f>
        <v/>
      </c>
      <c r="K46" s="31" t="n">
        <f aca="false">05_Propostas!H46</f>
        <v>0</v>
      </c>
      <c r="L46" s="42" t="n">
        <f aca="false">05_Propostas!I46</f>
        <v>0</v>
      </c>
      <c r="M46" s="43" t="str">
        <f aca="false">IF(D46&lt;&gt;"OK","",IF(E46&lt;02_Premissas!$B$16*INDEX(03_Baseline_Rotas!$K$6:$K$17,MATCH(A46,03_Baseline_Rotas!$A$6:$A$17,0)),"DUMP","OK"))</f>
        <v/>
      </c>
      <c r="N46" s="44" t="str">
        <f aca="false">IF(OR(D46&lt;&gt;"OK",F46=0),"",IF(ABS(F46-MIN(IF(D10="OK",F10,9900000000),IF(D22="OK",F22,9900000000),IF(D34="OK",F34,9900000000),IF(D46="OK",F46,9900000000)))&lt;0.51,"MELHOR",""))</f>
        <v/>
      </c>
    </row>
    <row r="47" customFormat="false" ht="15" hidden="false" customHeight="true" outlineLevel="0" collapsed="false">
      <c r="A47" s="30" t="str">
        <f aca="false">05_Propostas!A47</f>
        <v>L06</v>
      </c>
      <c r="B47" s="30" t="str">
        <f aca="false">05_Propostas!B47</f>
        <v>TR04</v>
      </c>
      <c r="C47" s="30" t="str">
        <f aca="false">05_Propostas!C47</f>
        <v>Prime Mile SP</v>
      </c>
      <c r="D47" s="30" t="str">
        <f aca="false">05_Propostas!M47</f>
        <v>FORA_MALHA</v>
      </c>
      <c r="E47" s="33" t="n">
        <f aca="false">05_Propostas!E47</f>
        <v>0</v>
      </c>
      <c r="F47" s="32" t="n">
        <f aca="false">IF(D47&lt;&gt;"OK",0,MAX(INDEX(03_Baseline_Rotas!$G$6:$G$17,MATCH(A47,03_Baseline_Rotas!$A$6:$A$17,0)),INDEX(03_Baseline_Rotas!$H$6:$H$17,MATCH(A47,03_Baseline_Rotas!$A$6:$A$17,0))*02_Premissas!$B$9)*E47+INDEX(03_Baseline_Rotas!$I$6:$I$17,MATCH(A47,03_Baseline_Rotas!$A$6:$A$17,0))*05_Propostas!F47+INDEX(03_Baseline_Rotas!$J$6:$J$17,MATCH(A47,03_Baseline_Rotas!$A$6:$A$17,0))*(IF(05_Propostas!J47="",02_Premissas!$B$10,05_Propostas!J47))+IF(MAX(INDEX(03_Baseline_Rotas!$G$6:$G$17,MATCH(A47,03_Baseline_Rotas!$A$6:$A$17,0)),INDEX(03_Baseline_Rotas!$H$6:$H$17,MATCH(A47,03_Baseline_Rotas!$A$6:$A$17,0))*02_Premissas!$B$9)*E47&lt;INDEX(03_Baseline_Rotas!$I$6:$I$17,MATCH(A47,03_Baseline_Rotas!$A$6:$A$17,0))*05_Propostas!G47,INDEX(03_Baseline_Rotas!$I$6:$I$17,MATCH(A47,03_Baseline_Rotas!$A$6:$A$17,0))*05_Propostas!G47-MAX(INDEX(03_Baseline_Rotas!$G$6:$G$17,MATCH(A47,03_Baseline_Rotas!$A$6:$A$17,0)),INDEX(03_Baseline_Rotas!$H$6:$H$17,MATCH(A47,03_Baseline_Rotas!$A$6:$A$17,0))*02_Premissas!$B$9)*E47,0))</f>
        <v>0</v>
      </c>
      <c r="G47" s="32" t="n">
        <f aca="false">F47*02_Premissas!$B$8</f>
        <v>0</v>
      </c>
      <c r="H47" s="32" t="n">
        <f aca="false">IFERROR(INDEX(03_Baseline_Rotas!$G$23:$G$34,MATCH(A47,03_Baseline_Rotas!$A$6:$A$17,0)),0)</f>
        <v>56350</v>
      </c>
      <c r="I47" s="32" t="str">
        <f aca="false">IF(D47&lt;&gt;"OK","",F47-H47)</f>
        <v/>
      </c>
      <c r="J47" s="42" t="str">
        <f aca="false">IF(OR(D47&lt;&gt;"OK",H47=0),"",(F47-H47)/H47)</f>
        <v/>
      </c>
      <c r="K47" s="31" t="n">
        <f aca="false">05_Propostas!H47</f>
        <v>0</v>
      </c>
      <c r="L47" s="42" t="n">
        <f aca="false">05_Propostas!I47</f>
        <v>0</v>
      </c>
      <c r="M47" s="43" t="str">
        <f aca="false">IF(D47&lt;&gt;"OK","",IF(E47&lt;02_Premissas!$B$16*INDEX(03_Baseline_Rotas!$K$6:$K$17,MATCH(A47,03_Baseline_Rotas!$A$6:$A$17,0)),"DUMP","OK"))</f>
        <v/>
      </c>
      <c r="N47" s="44" t="str">
        <f aca="false">IF(OR(D47&lt;&gt;"OK",F47=0),"",IF(ABS(F47-MIN(IF(D11="OK",F11,9900000000),IF(D23="OK",F23,9900000000),IF(D35="OK",F35,9900000000),IF(D47="OK",F47,9900000000)))&lt;0.51,"MELHOR",""))</f>
        <v/>
      </c>
    </row>
    <row r="48" customFormat="false" ht="15" hidden="false" customHeight="true" outlineLevel="0" collapsed="false">
      <c r="A48" s="30" t="str">
        <f aca="false">05_Propostas!A48</f>
        <v>L07</v>
      </c>
      <c r="B48" s="30" t="str">
        <f aca="false">05_Propostas!B48</f>
        <v>TR04</v>
      </c>
      <c r="C48" s="30" t="str">
        <f aca="false">05_Propostas!C48</f>
        <v>Prime Mile SP</v>
      </c>
      <c r="D48" s="30" t="str">
        <f aca="false">05_Propostas!M48</f>
        <v>OK</v>
      </c>
      <c r="E48" s="33" t="n">
        <f aca="false">05_Propostas!E48</f>
        <v>0.455</v>
      </c>
      <c r="F48" s="32" t="n">
        <f aca="false">IF(D48&lt;&gt;"OK",0,MAX(INDEX(03_Baseline_Rotas!$G$6:$G$17,MATCH(A48,03_Baseline_Rotas!$A$6:$A$17,0)),INDEX(03_Baseline_Rotas!$H$6:$H$17,MATCH(A48,03_Baseline_Rotas!$A$6:$A$17,0))*02_Premissas!$B$9)*E48+INDEX(03_Baseline_Rotas!$I$6:$I$17,MATCH(A48,03_Baseline_Rotas!$A$6:$A$17,0))*05_Propostas!F48+INDEX(03_Baseline_Rotas!$J$6:$J$17,MATCH(A48,03_Baseline_Rotas!$A$6:$A$17,0))*(IF(05_Propostas!J48="",02_Premissas!$B$10,05_Propostas!J48))+IF(MAX(INDEX(03_Baseline_Rotas!$G$6:$G$17,MATCH(A48,03_Baseline_Rotas!$A$6:$A$17,0)),INDEX(03_Baseline_Rotas!$H$6:$H$17,MATCH(A48,03_Baseline_Rotas!$A$6:$A$17,0))*02_Premissas!$B$9)*E48&lt;INDEX(03_Baseline_Rotas!$I$6:$I$17,MATCH(A48,03_Baseline_Rotas!$A$6:$A$17,0))*05_Propostas!G48,INDEX(03_Baseline_Rotas!$I$6:$I$17,MATCH(A48,03_Baseline_Rotas!$A$6:$A$17,0))*05_Propostas!G48-MAX(INDEX(03_Baseline_Rotas!$G$6:$G$17,MATCH(A48,03_Baseline_Rotas!$A$6:$A$17,0)),INDEX(03_Baseline_Rotas!$H$6:$H$17,MATCH(A48,03_Baseline_Rotas!$A$6:$A$17,0))*02_Premissas!$B$9)*E48,0))</f>
        <v>30630</v>
      </c>
      <c r="G48" s="32" t="n">
        <f aca="false">F48*02_Premissas!$B$8</f>
        <v>367560</v>
      </c>
      <c r="H48" s="32" t="n">
        <f aca="false">IFERROR(INDEX(03_Baseline_Rotas!$G$23:$G$34,MATCH(A48,03_Baseline_Rotas!$A$6:$A$17,0)),0)</f>
        <v>31080</v>
      </c>
      <c r="I48" s="32" t="n">
        <f aca="false">IF(D48&lt;&gt;"OK","",F48-H48)</f>
        <v>-450</v>
      </c>
      <c r="J48" s="42" t="n">
        <f aca="false">IF(OR(D48&lt;&gt;"OK",H48=0),"",(F48-H48)/H48)</f>
        <v>-0.0144787644787645</v>
      </c>
      <c r="K48" s="31" t="n">
        <f aca="false">05_Propostas!H48</f>
        <v>6</v>
      </c>
      <c r="L48" s="42" t="n">
        <f aca="false">05_Propostas!I48</f>
        <v>0.93</v>
      </c>
      <c r="M48" s="43" t="str">
        <f aca="false">IF(D48&lt;&gt;"OK","",IF(E48&lt;02_Premissas!$B$16*INDEX(03_Baseline_Rotas!$K$6:$K$17,MATCH(A48,03_Baseline_Rotas!$A$6:$A$17,0)),"DUMP","OK"))</f>
        <v>OK</v>
      </c>
      <c r="N48" s="44" t="str">
        <f aca="false">IF(OR(D48&lt;&gt;"OK",F48=0),"",IF(ABS(F48-MIN(IF(D12="OK",F12,9900000000),IF(D24="OK",F24,9900000000),IF(D36="OK",F36,9900000000),IF(D48="OK",F48,9900000000)))&lt;0.51,"MELHOR",""))</f>
        <v/>
      </c>
    </row>
    <row r="49" customFormat="false" ht="15" hidden="false" customHeight="true" outlineLevel="0" collapsed="false">
      <c r="A49" s="30" t="str">
        <f aca="false">05_Propostas!A49</f>
        <v>L08</v>
      </c>
      <c r="B49" s="30" t="str">
        <f aca="false">05_Propostas!B49</f>
        <v>TR04</v>
      </c>
      <c r="C49" s="30" t="str">
        <f aca="false">05_Propostas!C49</f>
        <v>Prime Mile SP</v>
      </c>
      <c r="D49" s="30" t="str">
        <f aca="false">05_Propostas!M49</f>
        <v>OK</v>
      </c>
      <c r="E49" s="33" t="n">
        <f aca="false">05_Propostas!E49</f>
        <v>0.4</v>
      </c>
      <c r="F49" s="32" t="n">
        <f aca="false">IF(D49&lt;&gt;"OK",0,MAX(INDEX(03_Baseline_Rotas!$G$6:$G$17,MATCH(A49,03_Baseline_Rotas!$A$6:$A$17,0)),INDEX(03_Baseline_Rotas!$H$6:$H$17,MATCH(A49,03_Baseline_Rotas!$A$6:$A$17,0))*02_Premissas!$B$9)*E49+INDEX(03_Baseline_Rotas!$I$6:$I$17,MATCH(A49,03_Baseline_Rotas!$A$6:$A$17,0))*05_Propostas!F49+INDEX(03_Baseline_Rotas!$J$6:$J$17,MATCH(A49,03_Baseline_Rotas!$A$6:$A$17,0))*(IF(05_Propostas!J49="",02_Premissas!$B$10,05_Propostas!J49))+IF(MAX(INDEX(03_Baseline_Rotas!$G$6:$G$17,MATCH(A49,03_Baseline_Rotas!$A$6:$A$17,0)),INDEX(03_Baseline_Rotas!$H$6:$H$17,MATCH(A49,03_Baseline_Rotas!$A$6:$A$17,0))*02_Premissas!$B$9)*E49&lt;INDEX(03_Baseline_Rotas!$I$6:$I$17,MATCH(A49,03_Baseline_Rotas!$A$6:$A$17,0))*05_Propostas!G49,INDEX(03_Baseline_Rotas!$I$6:$I$17,MATCH(A49,03_Baseline_Rotas!$A$6:$A$17,0))*05_Propostas!G49-MAX(INDEX(03_Baseline_Rotas!$G$6:$G$17,MATCH(A49,03_Baseline_Rotas!$A$6:$A$17,0)),INDEX(03_Baseline_Rotas!$H$6:$H$17,MATCH(A49,03_Baseline_Rotas!$A$6:$A$17,0))*02_Premissas!$B$9)*E49,0))</f>
        <v>39600</v>
      </c>
      <c r="G49" s="32" t="n">
        <f aca="false">F49*02_Premissas!$B$8</f>
        <v>475200</v>
      </c>
      <c r="H49" s="32" t="n">
        <f aca="false">IFERROR(INDEX(03_Baseline_Rotas!$G$23:$G$34,MATCH(A49,03_Baseline_Rotas!$A$6:$A$17,0)),0)</f>
        <v>41280</v>
      </c>
      <c r="I49" s="32" t="n">
        <f aca="false">IF(D49&lt;&gt;"OK","",F49-H49)</f>
        <v>-1680</v>
      </c>
      <c r="J49" s="42" t="n">
        <f aca="false">IF(OR(D49&lt;&gt;"OK",H49=0),"",(F49-H49)/H49)</f>
        <v>-0.0406976744186047</v>
      </c>
      <c r="K49" s="31" t="n">
        <f aca="false">05_Propostas!H49</f>
        <v>12</v>
      </c>
      <c r="L49" s="42" t="n">
        <f aca="false">05_Propostas!I49</f>
        <v>0.92</v>
      </c>
      <c r="M49" s="43" t="str">
        <f aca="false">IF(D49&lt;&gt;"OK","",IF(E49&lt;02_Premissas!$B$16*INDEX(03_Baseline_Rotas!$K$6:$K$17,MATCH(A49,03_Baseline_Rotas!$A$6:$A$17,0)),"DUMP","OK"))</f>
        <v>OK</v>
      </c>
      <c r="N49" s="44" t="str">
        <f aca="false">IF(OR(D49&lt;&gt;"OK",F49=0),"",IF(ABS(F49-MIN(IF(D13="OK",F13,9900000000),IF(D25="OK",F25,9900000000),IF(D37="OK",F37,9900000000),IF(D49="OK",F49,9900000000)))&lt;0.51,"MELHOR",""))</f>
        <v/>
      </c>
    </row>
    <row r="50" customFormat="false" ht="15" hidden="false" customHeight="true" outlineLevel="0" collapsed="false">
      <c r="A50" s="30" t="str">
        <f aca="false">05_Propostas!A50</f>
        <v>L09</v>
      </c>
      <c r="B50" s="30" t="str">
        <f aca="false">05_Propostas!B50</f>
        <v>TR04</v>
      </c>
      <c r="C50" s="30" t="str">
        <f aca="false">05_Propostas!C50</f>
        <v>Prime Mile SP</v>
      </c>
      <c r="D50" s="30" t="str">
        <f aca="false">05_Propostas!M50</f>
        <v>OK</v>
      </c>
      <c r="E50" s="33" t="n">
        <f aca="false">05_Propostas!E50</f>
        <v>1.48</v>
      </c>
      <c r="F50" s="32" t="n">
        <f aca="false">IF(D50&lt;&gt;"OK",0,MAX(INDEX(03_Baseline_Rotas!$G$6:$G$17,MATCH(A50,03_Baseline_Rotas!$A$6:$A$17,0)),INDEX(03_Baseline_Rotas!$H$6:$H$17,MATCH(A50,03_Baseline_Rotas!$A$6:$A$17,0))*02_Premissas!$B$9)*E50+INDEX(03_Baseline_Rotas!$I$6:$I$17,MATCH(A50,03_Baseline_Rotas!$A$6:$A$17,0))*05_Propostas!F50+INDEX(03_Baseline_Rotas!$J$6:$J$17,MATCH(A50,03_Baseline_Rotas!$A$6:$A$17,0))*(IF(05_Propostas!J50="",02_Premissas!$B$10,05_Propostas!J50))+IF(MAX(INDEX(03_Baseline_Rotas!$G$6:$G$17,MATCH(A50,03_Baseline_Rotas!$A$6:$A$17,0)),INDEX(03_Baseline_Rotas!$H$6:$H$17,MATCH(A50,03_Baseline_Rotas!$A$6:$A$17,0))*02_Premissas!$B$9)*E50&lt;INDEX(03_Baseline_Rotas!$I$6:$I$17,MATCH(A50,03_Baseline_Rotas!$A$6:$A$17,0))*05_Propostas!G50,INDEX(03_Baseline_Rotas!$I$6:$I$17,MATCH(A50,03_Baseline_Rotas!$A$6:$A$17,0))*05_Propostas!G50-MAX(INDEX(03_Baseline_Rotas!$G$6:$G$17,MATCH(A50,03_Baseline_Rotas!$A$6:$A$17,0)),INDEX(03_Baseline_Rotas!$H$6:$H$17,MATCH(A50,03_Baseline_Rotas!$A$6:$A$17,0))*02_Premissas!$B$9)*E50,0))</f>
        <v>99540</v>
      </c>
      <c r="G50" s="32" t="n">
        <f aca="false">F50*02_Premissas!$B$8</f>
        <v>1194480</v>
      </c>
      <c r="H50" s="32" t="n">
        <f aca="false">IFERROR(INDEX(03_Baseline_Rotas!$G$23:$G$34,MATCH(A50,03_Baseline_Rotas!$A$6:$A$17,0)),0)</f>
        <v>122850</v>
      </c>
      <c r="I50" s="32" t="n">
        <f aca="false">IF(D50&lt;&gt;"OK","",F50-H50)</f>
        <v>-23310</v>
      </c>
      <c r="J50" s="42" t="n">
        <f aca="false">IF(OR(D50&lt;&gt;"OK",H50=0),"",(F50-H50)/H50)</f>
        <v>-0.18974358974359</v>
      </c>
      <c r="K50" s="31" t="n">
        <f aca="false">05_Propostas!H50</f>
        <v>20</v>
      </c>
      <c r="L50" s="42" t="n">
        <f aca="false">05_Propostas!I50</f>
        <v>0.94</v>
      </c>
      <c r="M50" s="43" t="str">
        <f aca="false">IF(D50&lt;&gt;"OK","",IF(E50&lt;02_Premissas!$B$16*INDEX(03_Baseline_Rotas!$K$6:$K$17,MATCH(A50,03_Baseline_Rotas!$A$6:$A$17,0)),"DUMP","OK"))</f>
        <v>OK</v>
      </c>
      <c r="N50" s="44" t="str">
        <f aca="false">IF(OR(D50&lt;&gt;"OK",F50=0),"",IF(ABS(F50-MIN(IF(D14="OK",F14,9900000000),IF(D26="OK",F26,9900000000),IF(D38="OK",F38,9900000000),IF(D50="OK",F50,9900000000)))&lt;0.51,"MELHOR",""))</f>
        <v>MELHOR</v>
      </c>
    </row>
    <row r="51" customFormat="false" ht="15" hidden="false" customHeight="true" outlineLevel="0" collapsed="false">
      <c r="A51" s="30" t="str">
        <f aca="false">05_Propostas!A51</f>
        <v>L10</v>
      </c>
      <c r="B51" s="30" t="str">
        <f aca="false">05_Propostas!B51</f>
        <v>TR04</v>
      </c>
      <c r="C51" s="30" t="str">
        <f aca="false">05_Propostas!C51</f>
        <v>Prime Mile SP</v>
      </c>
      <c r="D51" s="30" t="str">
        <f aca="false">05_Propostas!M51</f>
        <v>OK</v>
      </c>
      <c r="E51" s="33" t="n">
        <f aca="false">05_Propostas!E51</f>
        <v>1.35</v>
      </c>
      <c r="F51" s="32" t="n">
        <f aca="false">IF(D51&lt;&gt;"OK",0,MAX(INDEX(03_Baseline_Rotas!$G$6:$G$17,MATCH(A51,03_Baseline_Rotas!$A$6:$A$17,0)),INDEX(03_Baseline_Rotas!$H$6:$H$17,MATCH(A51,03_Baseline_Rotas!$A$6:$A$17,0))*02_Premissas!$B$9)*E51+INDEX(03_Baseline_Rotas!$I$6:$I$17,MATCH(A51,03_Baseline_Rotas!$A$6:$A$17,0))*05_Propostas!F51+INDEX(03_Baseline_Rotas!$J$6:$J$17,MATCH(A51,03_Baseline_Rotas!$A$6:$A$17,0))*(IF(05_Propostas!J51="",02_Premissas!$B$10,05_Propostas!J51))+IF(MAX(INDEX(03_Baseline_Rotas!$G$6:$G$17,MATCH(A51,03_Baseline_Rotas!$A$6:$A$17,0)),INDEX(03_Baseline_Rotas!$H$6:$H$17,MATCH(A51,03_Baseline_Rotas!$A$6:$A$17,0))*02_Premissas!$B$9)*E51&lt;INDEX(03_Baseline_Rotas!$I$6:$I$17,MATCH(A51,03_Baseline_Rotas!$A$6:$A$17,0))*05_Propostas!G51,INDEX(03_Baseline_Rotas!$I$6:$I$17,MATCH(A51,03_Baseline_Rotas!$A$6:$A$17,0))*05_Propostas!G51-MAX(INDEX(03_Baseline_Rotas!$G$6:$G$17,MATCH(A51,03_Baseline_Rotas!$A$6:$A$17,0)),INDEX(03_Baseline_Rotas!$H$6:$H$17,MATCH(A51,03_Baseline_Rotas!$A$6:$A$17,0))*02_Premissas!$B$9)*E51,0))</f>
        <v>51450</v>
      </c>
      <c r="G51" s="32" t="n">
        <f aca="false">F51*02_Premissas!$B$8</f>
        <v>617400</v>
      </c>
      <c r="H51" s="32" t="n">
        <f aca="false">IFERROR(INDEX(03_Baseline_Rotas!$G$23:$G$34,MATCH(A51,03_Baseline_Rotas!$A$6:$A$17,0)),0)</f>
        <v>61170</v>
      </c>
      <c r="I51" s="32" t="n">
        <f aca="false">IF(D51&lt;&gt;"OK","",F51-H51)</f>
        <v>-9720.00000000001</v>
      </c>
      <c r="J51" s="42" t="n">
        <f aca="false">IF(OR(D51&lt;&gt;"OK",H51=0),"",(F51-H51)/H51)</f>
        <v>-0.158901422265817</v>
      </c>
      <c r="K51" s="31" t="n">
        <f aca="false">05_Propostas!H51</f>
        <v>20</v>
      </c>
      <c r="L51" s="42" t="n">
        <f aca="false">05_Propostas!I51</f>
        <v>0.95</v>
      </c>
      <c r="M51" s="43" t="str">
        <f aca="false">IF(D51&lt;&gt;"OK","",IF(E51&lt;02_Premissas!$B$16*INDEX(03_Baseline_Rotas!$K$6:$K$17,MATCH(A51,03_Baseline_Rotas!$A$6:$A$17,0)),"DUMP","OK"))</f>
        <v>OK</v>
      </c>
      <c r="N51" s="44" t="str">
        <f aca="false">IF(OR(D51&lt;&gt;"OK",F51=0),"",IF(ABS(F51-MIN(IF(D15="OK",F15,9900000000),IF(D27="OK",F27,9900000000),IF(D39="OK",F39,9900000000),IF(D51="OK",F51,9900000000)))&lt;0.51,"MELHOR",""))</f>
        <v>MELHOR</v>
      </c>
    </row>
    <row r="52" customFormat="false" ht="15" hidden="false" customHeight="true" outlineLevel="0" collapsed="false">
      <c r="A52" s="30" t="str">
        <f aca="false">05_Propostas!A52</f>
        <v>L11</v>
      </c>
      <c r="B52" s="30" t="str">
        <f aca="false">05_Propostas!B52</f>
        <v>TR04</v>
      </c>
      <c r="C52" s="30" t="str">
        <f aca="false">05_Propostas!C52</f>
        <v>Prime Mile SP</v>
      </c>
      <c r="D52" s="30" t="str">
        <f aca="false">05_Propostas!M52</f>
        <v>FORA_MALHA</v>
      </c>
      <c r="E52" s="33" t="n">
        <f aca="false">05_Propostas!E52</f>
        <v>0</v>
      </c>
      <c r="F52" s="32" t="n">
        <f aca="false">IF(D52&lt;&gt;"OK",0,MAX(INDEX(03_Baseline_Rotas!$G$6:$G$17,MATCH(A52,03_Baseline_Rotas!$A$6:$A$17,0)),INDEX(03_Baseline_Rotas!$H$6:$H$17,MATCH(A52,03_Baseline_Rotas!$A$6:$A$17,0))*02_Premissas!$B$9)*E52+INDEX(03_Baseline_Rotas!$I$6:$I$17,MATCH(A52,03_Baseline_Rotas!$A$6:$A$17,0))*05_Propostas!F52+INDEX(03_Baseline_Rotas!$J$6:$J$17,MATCH(A52,03_Baseline_Rotas!$A$6:$A$17,0))*(IF(05_Propostas!J52="",02_Premissas!$B$10,05_Propostas!J52))+IF(MAX(INDEX(03_Baseline_Rotas!$G$6:$G$17,MATCH(A52,03_Baseline_Rotas!$A$6:$A$17,0)),INDEX(03_Baseline_Rotas!$H$6:$H$17,MATCH(A52,03_Baseline_Rotas!$A$6:$A$17,0))*02_Premissas!$B$9)*E52&lt;INDEX(03_Baseline_Rotas!$I$6:$I$17,MATCH(A52,03_Baseline_Rotas!$A$6:$A$17,0))*05_Propostas!G52,INDEX(03_Baseline_Rotas!$I$6:$I$17,MATCH(A52,03_Baseline_Rotas!$A$6:$A$17,0))*05_Propostas!G52-MAX(INDEX(03_Baseline_Rotas!$G$6:$G$17,MATCH(A52,03_Baseline_Rotas!$A$6:$A$17,0)),INDEX(03_Baseline_Rotas!$H$6:$H$17,MATCH(A52,03_Baseline_Rotas!$A$6:$A$17,0))*02_Premissas!$B$9)*E52,0))</f>
        <v>0</v>
      </c>
      <c r="G52" s="32" t="n">
        <f aca="false">F52*02_Premissas!$B$8</f>
        <v>0</v>
      </c>
      <c r="H52" s="32" t="n">
        <f aca="false">IFERROR(INDEX(03_Baseline_Rotas!$G$23:$G$34,MATCH(A52,03_Baseline_Rotas!$A$6:$A$17,0)),0)</f>
        <v>44490</v>
      </c>
      <c r="I52" s="32" t="str">
        <f aca="false">IF(D52&lt;&gt;"OK","",F52-H52)</f>
        <v/>
      </c>
      <c r="J52" s="42" t="str">
        <f aca="false">IF(OR(D52&lt;&gt;"OK",H52=0),"",(F52-H52)/H52)</f>
        <v/>
      </c>
      <c r="K52" s="31" t="n">
        <f aca="false">05_Propostas!H52</f>
        <v>0</v>
      </c>
      <c r="L52" s="42" t="n">
        <f aca="false">05_Propostas!I52</f>
        <v>0</v>
      </c>
      <c r="M52" s="43" t="str">
        <f aca="false">IF(D52&lt;&gt;"OK","",IF(E52&lt;02_Premissas!$B$16*INDEX(03_Baseline_Rotas!$K$6:$K$17,MATCH(A52,03_Baseline_Rotas!$A$6:$A$17,0)),"DUMP","OK"))</f>
        <v/>
      </c>
      <c r="N52" s="44" t="str">
        <f aca="false">IF(OR(D52&lt;&gt;"OK",F52=0),"",IF(ABS(F52-MIN(IF(D16="OK",F16,9900000000),IF(D28="OK",F28,9900000000),IF(D40="OK",F40,9900000000),IF(D52="OK",F52,9900000000)))&lt;0.51,"MELHOR",""))</f>
        <v/>
      </c>
    </row>
    <row r="53" customFormat="false" ht="15" hidden="false" customHeight="true" outlineLevel="0" collapsed="false">
      <c r="A53" s="30" t="str">
        <f aca="false">05_Propostas!A53</f>
        <v>L12</v>
      </c>
      <c r="B53" s="30" t="str">
        <f aca="false">05_Propostas!B53</f>
        <v>TR04</v>
      </c>
      <c r="C53" s="30" t="str">
        <f aca="false">05_Propostas!C53</f>
        <v>Prime Mile SP</v>
      </c>
      <c r="D53" s="30" t="str">
        <f aca="false">05_Propostas!M53</f>
        <v>FORA_MALHA</v>
      </c>
      <c r="E53" s="33" t="n">
        <f aca="false">05_Propostas!E53</f>
        <v>0</v>
      </c>
      <c r="F53" s="32" t="n">
        <f aca="false">IF(D53&lt;&gt;"OK",0,MAX(INDEX(03_Baseline_Rotas!$G$6:$G$17,MATCH(A53,03_Baseline_Rotas!$A$6:$A$17,0)),INDEX(03_Baseline_Rotas!$H$6:$H$17,MATCH(A53,03_Baseline_Rotas!$A$6:$A$17,0))*02_Premissas!$B$9)*E53+INDEX(03_Baseline_Rotas!$I$6:$I$17,MATCH(A53,03_Baseline_Rotas!$A$6:$A$17,0))*05_Propostas!F53+INDEX(03_Baseline_Rotas!$J$6:$J$17,MATCH(A53,03_Baseline_Rotas!$A$6:$A$17,0))*(IF(05_Propostas!J53="",02_Premissas!$B$10,05_Propostas!J53))+IF(MAX(INDEX(03_Baseline_Rotas!$G$6:$G$17,MATCH(A53,03_Baseline_Rotas!$A$6:$A$17,0)),INDEX(03_Baseline_Rotas!$H$6:$H$17,MATCH(A53,03_Baseline_Rotas!$A$6:$A$17,0))*02_Premissas!$B$9)*E53&lt;INDEX(03_Baseline_Rotas!$I$6:$I$17,MATCH(A53,03_Baseline_Rotas!$A$6:$A$17,0))*05_Propostas!G53,INDEX(03_Baseline_Rotas!$I$6:$I$17,MATCH(A53,03_Baseline_Rotas!$A$6:$A$17,0))*05_Propostas!G53-MAX(INDEX(03_Baseline_Rotas!$G$6:$G$17,MATCH(A53,03_Baseline_Rotas!$A$6:$A$17,0)),INDEX(03_Baseline_Rotas!$H$6:$H$17,MATCH(A53,03_Baseline_Rotas!$A$6:$A$17,0))*02_Premissas!$B$9)*E53,0))</f>
        <v>0</v>
      </c>
      <c r="G53" s="32" t="n">
        <f aca="false">F53*02_Premissas!$B$8</f>
        <v>0</v>
      </c>
      <c r="H53" s="32" t="n">
        <f aca="false">IFERROR(INDEX(03_Baseline_Rotas!$G$23:$G$34,MATCH(A53,03_Baseline_Rotas!$A$6:$A$17,0)),0)</f>
        <v>28220</v>
      </c>
      <c r="I53" s="32" t="str">
        <f aca="false">IF(D53&lt;&gt;"OK","",F53-H53)</f>
        <v/>
      </c>
      <c r="J53" s="42" t="str">
        <f aca="false">IF(OR(D53&lt;&gt;"OK",H53=0),"",(F53-H53)/H53)</f>
        <v/>
      </c>
      <c r="K53" s="31" t="n">
        <f aca="false">05_Propostas!H53</f>
        <v>0</v>
      </c>
      <c r="L53" s="42" t="n">
        <f aca="false">05_Propostas!I53</f>
        <v>0</v>
      </c>
      <c r="M53" s="43" t="str">
        <f aca="false">IF(D53&lt;&gt;"OK","",IF(E53&lt;02_Premissas!$B$16*INDEX(03_Baseline_Rotas!$K$6:$K$17,MATCH(A53,03_Baseline_Rotas!$A$6:$A$17,0)),"DUMP","OK"))</f>
        <v/>
      </c>
      <c r="N53" s="44" t="str">
        <f aca="false">IF(OR(D53&lt;&gt;"OK",F53=0),"",IF(ABS(F53-MIN(IF(D17="OK",F17,9900000000),IF(D29="OK",F29,9900000000),IF(D41="OK",F41,9900000000),IF(D53="OK",F53,9900000000)))&lt;0.51,"MELHOR",""))</f>
        <v/>
      </c>
    </row>
  </sheetData>
  <autoFilter ref="A5:N53"/>
  <mergeCells count="2">
    <mergeCell ref="A1:N1"/>
    <mergeCell ref="A2:N2"/>
  </mergeCells>
  <conditionalFormatting sqref="J6:J53">
    <cfRule type="expression" priority="2" aboveAverage="0" equalAverage="0" bottom="0" percent="0" rank="0" text="" dxfId="8">
      <formula>AND(ISNUMBER(J6),J6&lt;0)</formula>
    </cfRule>
    <cfRule type="expression" priority="3" aboveAverage="0" equalAverage="0" bottom="0" percent="0" rank="0" text="" dxfId="9">
      <formula>AND(ISNUMBER(J6),J6&gt;0)</formula>
    </cfRule>
  </conditionalFormatting>
  <conditionalFormatting sqref="N6:N53">
    <cfRule type="expression" priority="4" aboveAverage="0" equalAverage="0" bottom="0" percent="0" rank="0" text="" dxfId="14">
      <formula>N6="MELHOR"</formula>
    </cfRule>
  </conditionalFormatting>
  <conditionalFormatting sqref="M6:M53">
    <cfRule type="expression" priority="5" aboveAverage="0" equalAverage="0" bottom="0" percent="0" rank="0" text="" dxfId="9">
      <formula>M6="DUMP"</formula>
    </cfRule>
  </conditionalFormatting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36"/>
    <col collapsed="false" customWidth="true" hidden="false" outlineLevel="0" max="3" min="3" style="1" width="12"/>
    <col collapsed="false" customWidth="true" hidden="false" outlineLevel="0" max="5" min="4" style="1" width="18"/>
    <col collapsed="false" customWidth="true" hidden="false" outlineLevel="0" max="6" min="6" style="1" width="20"/>
    <col collapsed="false" customWidth="true" hidden="false" outlineLevel="0" max="8" min="7" style="1" width="16"/>
    <col collapsed="false" customWidth="true" hidden="false" outlineLevel="0" max="10" min="9" style="1" width="12"/>
    <col collapsed="false" customWidth="true" hidden="false" outlineLevel="0" max="11" min="11" style="1" width="14"/>
    <col collapsed="false" customWidth="true" hidden="false" outlineLevel="0" max="12" min="12" style="1" width="16"/>
  </cols>
  <sheetData>
    <row r="1" customFormat="false" ht="27.75" hidden="false" customHeight="true" outlineLevel="0" collapsed="false">
      <c r="A1" s="2" t="s">
        <v>251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8" hidden="false" customHeight="true" outlineLevel="0" collapsed="false">
      <c r="A2" s="3" t="s">
        <v>252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5" customFormat="false" ht="27.75" hidden="false" customHeight="true" outlineLevel="0" collapsed="false">
      <c r="A5" s="9" t="s">
        <v>113</v>
      </c>
      <c r="B5" s="9" t="s">
        <v>253</v>
      </c>
      <c r="C5" s="9" t="s">
        <v>117</v>
      </c>
      <c r="D5" s="9" t="s">
        <v>254</v>
      </c>
      <c r="E5" s="9" t="s">
        <v>255</v>
      </c>
      <c r="F5" s="9" t="s">
        <v>256</v>
      </c>
      <c r="G5" s="9" t="s">
        <v>257</v>
      </c>
      <c r="H5" s="9" t="s">
        <v>258</v>
      </c>
      <c r="I5" s="9" t="s">
        <v>259</v>
      </c>
      <c r="J5" s="9" t="s">
        <v>260</v>
      </c>
      <c r="K5" s="9" t="s">
        <v>261</v>
      </c>
      <c r="L5" s="9" t="s">
        <v>262</v>
      </c>
    </row>
    <row r="6" customFormat="false" ht="15" hidden="false" customHeight="true" outlineLevel="0" collapsed="false">
      <c r="A6" s="30" t="str">
        <f aca="false">03_Baseline_Rotas!A6</f>
        <v>L01</v>
      </c>
      <c r="B6" s="30" t="str">
        <f aca="false">03_Baseline_Rotas!B6&amp;" → "&amp;03_Baseline_Rotas!C6</f>
        <v>CD Cajamar/SP → Rio de Janeiro/RJ</v>
      </c>
      <c r="C6" s="30" t="str">
        <f aca="false">03_Baseline_Rotas!E6</f>
        <v>FTL</v>
      </c>
      <c r="D6" s="32" t="n">
        <f aca="false">03_Baseline_Rotas!G23</f>
        <v>106260</v>
      </c>
      <c r="E6" s="43" t="str">
        <f aca="false">IFERROR(T(CONCATENATE(IF(AND(07_Comparativo!D6="OK",07_Comparativo!N6="MELHOR"),07_Comparativo!C6,""),IF(AND(07_Comparativo!D18="OK",07_Comparativo!N18="MELHOR"),07_Comparativo!C18,""),IF(AND(07_Comparativo!D30="OK",07_Comparativo!N30="MELHOR"),07_Comparativo!C30,""),IF(AND(07_Comparativo!D42="OK",07_Comparativo!N42="MELHOR"),07_Comparativo!C42,""))),"—")</f>
        <v>TransLeste</v>
      </c>
      <c r="F6" s="32" t="n">
        <f aca="false">IF(MIN(IF(AND(07_Comparativo!D6="OK",07_Comparativo!M6="OK"),07_Comparativo!F6,9900000000),IF(AND(07_Comparativo!D18="OK",07_Comparativo!M18="OK"),07_Comparativo!F18,9900000000),IF(AND(07_Comparativo!D30="OK",07_Comparativo!M30="OK"),07_Comparativo!F30,9900000000),IF(AND(07_Comparativo!D42="OK",07_Comparativo!M42="OK"),07_Comparativo!F42,9900000000))&gt;=990000000,0,MIN(IF(AND(07_Comparativo!D6="OK",07_Comparativo!M6="OK"),07_Comparativo!F6,9900000000),IF(AND(07_Comparativo!D18="OK",07_Comparativo!M18="OK"),07_Comparativo!F18,9900000000),IF(AND(07_Comparativo!D30="OK",07_Comparativo!M30="OK"),07_Comparativo!F30,9900000000),IF(AND(07_Comparativo!D42="OK",07_Comparativo!M42="OK"),07_Comparativo!F42,9900000000)))</f>
        <v>98470</v>
      </c>
      <c r="G6" s="32" t="n">
        <f aca="false">IF(F6=0,0,D6-F6)</f>
        <v>7790.00000000002</v>
      </c>
      <c r="H6" s="32" t="n">
        <f aca="false">G6*02_Premissas!$B$8</f>
        <v>93480.0000000002</v>
      </c>
      <c r="I6" s="42" t="n">
        <f aca="false">IF(D6=0,0,G6/D6)</f>
        <v>0.0733107472237908</v>
      </c>
      <c r="J6" s="33" t="n">
        <f aca="false">03_Baseline_Rotas!K6</f>
        <v>0.28</v>
      </c>
      <c r="K6" s="33" t="str">
        <f aca="false">IFERROR(N(MAX(IF(AND(07_Comparativo!D6="OK",07_Comparativo!N6="MELHOR"),07_Comparativo!E6,""),IF(AND(07_Comparativo!D18="OK",07_Comparativo!N18="MELHOR"),07_Comparativo!E18,""),IF(AND(07_Comparativo!D30="OK",07_Comparativo!N30="MELHOR"),07_Comparativo!E30,""),IF(AND(07_Comparativo!D42="OK",07_Comparativo!N42="MELHOR"),07_Comparativo!E42,""))),"—")</f>
        <v>—</v>
      </c>
      <c r="L6" s="43" t="n">
        <f aca="false">COUNTIFS(07_Comparativo!$A$6:$A$53,A6,07_Comparativo!$D$6:$D$53,"OK")</f>
        <v>3</v>
      </c>
    </row>
    <row r="7" customFormat="false" ht="15" hidden="false" customHeight="true" outlineLevel="0" collapsed="false">
      <c r="A7" s="30" t="str">
        <f aca="false">03_Baseline_Rotas!A7</f>
        <v>L02</v>
      </c>
      <c r="B7" s="30" t="str">
        <f aca="false">03_Baseline_Rotas!B7&amp;" → "&amp;03_Baseline_Rotas!C7</f>
        <v>CD Cajamar/SP → Belo Horizonte/MG</v>
      </c>
      <c r="C7" s="30" t="str">
        <f aca="false">03_Baseline_Rotas!E7</f>
        <v>FTL</v>
      </c>
      <c r="D7" s="32" t="n">
        <f aca="false">03_Baseline_Rotas!G24</f>
        <v>85700</v>
      </c>
      <c r="E7" s="43" t="str">
        <f aca="false">IFERROR(T(CONCATENATE(IF(AND(07_Comparativo!D7="OK",07_Comparativo!N7="MELHOR"),07_Comparativo!C7,""),IF(AND(07_Comparativo!D19="OK",07_Comparativo!N19="MELHOR"),07_Comparativo!C19,""),IF(AND(07_Comparativo!D31="OK",07_Comparativo!N31="MELHOR"),07_Comparativo!C31,""),IF(AND(07_Comparativo!D43="OK",07_Comparativo!N43="MELHOR"),07_Comparativo!C43,""))),"—")</f>
        <v>RodoSul Log</v>
      </c>
      <c r="F7" s="32" t="n">
        <f aca="false">IF(MIN(IF(AND(07_Comparativo!D7="OK",07_Comparativo!M7="OK"),07_Comparativo!F7,9900000000),IF(AND(07_Comparativo!D19="OK",07_Comparativo!M19="OK"),07_Comparativo!F19,9900000000),IF(AND(07_Comparativo!D31="OK",07_Comparativo!M31="OK"),07_Comparativo!F31,9900000000),IF(AND(07_Comparativo!D43="OK",07_Comparativo!M43="OK"),07_Comparativo!F43,9900000000))&gt;=990000000,0,MIN(IF(AND(07_Comparativo!D7="OK",07_Comparativo!M7="OK"),07_Comparativo!F7,9900000000),IF(AND(07_Comparativo!D19="OK",07_Comparativo!M19="OK"),07_Comparativo!F19,9900000000),IF(AND(07_Comparativo!D31="OK",07_Comparativo!M31="OK"),07_Comparativo!F31,9900000000),IF(AND(07_Comparativo!D43="OK",07_Comparativo!M43="OK"),07_Comparativo!F43,9900000000)))</f>
        <v>79990</v>
      </c>
      <c r="G7" s="32" t="n">
        <f aca="false">IF(F7=0,0,D7-F7)</f>
        <v>5710</v>
      </c>
      <c r="H7" s="32" t="n">
        <f aca="false">G7*02_Premissas!$B$8</f>
        <v>68520</v>
      </c>
      <c r="I7" s="42" t="n">
        <f aca="false">IF(D7=0,0,G7/D7)</f>
        <v>0.0666277712952159</v>
      </c>
      <c r="J7" s="33" t="n">
        <f aca="false">03_Baseline_Rotas!K7</f>
        <v>0.31</v>
      </c>
      <c r="K7" s="33" t="str">
        <f aca="false">IFERROR(N(MAX(IF(AND(07_Comparativo!D7="OK",07_Comparativo!N7="MELHOR"),07_Comparativo!E7,""),IF(AND(07_Comparativo!D19="OK",07_Comparativo!N19="MELHOR"),07_Comparativo!E19,""),IF(AND(07_Comparativo!D31="OK",07_Comparativo!N31="MELHOR"),07_Comparativo!E31,""),IF(AND(07_Comparativo!D43="OK",07_Comparativo!N43="MELHOR"),07_Comparativo!E43,""))),"—")</f>
        <v>—</v>
      </c>
      <c r="L7" s="43" t="n">
        <f aca="false">COUNTIFS(07_Comparativo!$A$6:$A$53,A7,07_Comparativo!$D$6:$D$53,"OK")</f>
        <v>3</v>
      </c>
    </row>
    <row r="8" customFormat="false" ht="15" hidden="false" customHeight="true" outlineLevel="0" collapsed="false">
      <c r="A8" s="30" t="str">
        <f aca="false">03_Baseline_Rotas!A8</f>
        <v>L03</v>
      </c>
      <c r="B8" s="30" t="str">
        <f aca="false">03_Baseline_Rotas!B8&amp;" → "&amp;03_Baseline_Rotas!C8</f>
        <v>CD Cajamar/SP → Curitiba/PR</v>
      </c>
      <c r="C8" s="30" t="str">
        <f aca="false">03_Baseline_Rotas!E8</f>
        <v>FTL</v>
      </c>
      <c r="D8" s="32" t="n">
        <f aca="false">03_Baseline_Rotas!G25</f>
        <v>56730</v>
      </c>
      <c r="E8" s="43" t="str">
        <f aca="false">IFERROR(T(CONCATENATE(IF(AND(07_Comparativo!D8="OK",07_Comparativo!N8="MELHOR"),07_Comparativo!C8,""),IF(AND(07_Comparativo!D20="OK",07_Comparativo!N20="MELHOR"),07_Comparativo!C20,""),IF(AND(07_Comparativo!D32="OK",07_Comparativo!N32="MELHOR"),07_Comparativo!C32,""),IF(AND(07_Comparativo!D44="OK",07_Comparativo!N44="MELHOR"),07_Comparativo!C44,""))),"—")</f>
        <v>RodoSul Log</v>
      </c>
      <c r="F8" s="32" t="n">
        <f aca="false">IF(MIN(IF(AND(07_Comparativo!D8="OK",07_Comparativo!M8="OK"),07_Comparativo!F8,9900000000),IF(AND(07_Comparativo!D20="OK",07_Comparativo!M20="OK"),07_Comparativo!F20,9900000000),IF(AND(07_Comparativo!D32="OK",07_Comparativo!M32="OK"),07_Comparativo!F32,9900000000),IF(AND(07_Comparativo!D44="OK",07_Comparativo!M44="OK"),07_Comparativo!F44,9900000000))&gt;=990000000,0,MIN(IF(AND(07_Comparativo!D8="OK",07_Comparativo!M8="OK"),07_Comparativo!F8,9900000000),IF(AND(07_Comparativo!D20="OK",07_Comparativo!M20="OK"),07_Comparativo!F20,9900000000),IF(AND(07_Comparativo!D32="OK",07_Comparativo!M32="OK"),07_Comparativo!F32,9900000000),IF(AND(07_Comparativo!D44="OK",07_Comparativo!M44="OK"),07_Comparativo!F44,9900000000)))</f>
        <v>51450</v>
      </c>
      <c r="G8" s="32" t="n">
        <f aca="false">IF(F8=0,0,D8-F8)</f>
        <v>5280</v>
      </c>
      <c r="H8" s="32" t="n">
        <f aca="false">G8*02_Premissas!$B$8</f>
        <v>63360</v>
      </c>
      <c r="I8" s="42" t="n">
        <f aca="false">IF(D8=0,0,G8/D8)</f>
        <v>0.0930724484399789</v>
      </c>
      <c r="J8" s="33" t="n">
        <f aca="false">03_Baseline_Rotas!K8</f>
        <v>0.27</v>
      </c>
      <c r="K8" s="33" t="str">
        <f aca="false">IFERROR(N(MAX(IF(AND(07_Comparativo!D8="OK",07_Comparativo!N8="MELHOR"),07_Comparativo!E8,""),IF(AND(07_Comparativo!D20="OK",07_Comparativo!N20="MELHOR"),07_Comparativo!E20,""),IF(AND(07_Comparativo!D32="OK",07_Comparativo!N32="MELHOR"),07_Comparativo!E32,""),IF(AND(07_Comparativo!D44="OK",07_Comparativo!N44="MELHOR"),07_Comparativo!E44,""))),"—")</f>
        <v>—</v>
      </c>
      <c r="L8" s="43" t="n">
        <f aca="false">COUNTIFS(07_Comparativo!$A$6:$A$53,A8,07_Comparativo!$D$6:$D$53,"OK")</f>
        <v>2</v>
      </c>
    </row>
    <row r="9" customFormat="false" ht="15" hidden="false" customHeight="true" outlineLevel="0" collapsed="false">
      <c r="A9" s="30" t="str">
        <f aca="false">03_Baseline_Rotas!A9</f>
        <v>L04</v>
      </c>
      <c r="B9" s="30" t="str">
        <f aca="false">03_Baseline_Rotas!B9&amp;" → "&amp;03_Baseline_Rotas!C9</f>
        <v>CD Cajamar/SP → Porto Alegre/RS</v>
      </c>
      <c r="C9" s="30" t="str">
        <f aca="false">03_Baseline_Rotas!E9</f>
        <v>FTL</v>
      </c>
      <c r="D9" s="32" t="n">
        <f aca="false">03_Baseline_Rotas!G26</f>
        <v>67050</v>
      </c>
      <c r="E9" s="43" t="str">
        <f aca="false">IFERROR(T(CONCATENATE(IF(AND(07_Comparativo!D9="OK",07_Comparativo!N9="MELHOR"),07_Comparativo!C9,""),IF(AND(07_Comparativo!D21="OK",07_Comparativo!N21="MELHOR"),07_Comparativo!C21,""),IF(AND(07_Comparativo!D33="OK",07_Comparativo!N33="MELHOR"),07_Comparativo!C33,""),IF(AND(07_Comparativo!D45="OK",07_Comparativo!N45="MELHOR"),07_Comparativo!C45,""))),"—")</f>
        <v>RodoSul Log</v>
      </c>
      <c r="F9" s="32" t="n">
        <f aca="false">IF(MIN(IF(AND(07_Comparativo!D9="OK",07_Comparativo!M9="OK"),07_Comparativo!F9,9900000000),IF(AND(07_Comparativo!D21="OK",07_Comparativo!M21="OK"),07_Comparativo!F21,9900000000),IF(AND(07_Comparativo!D33="OK",07_Comparativo!M33="OK"),07_Comparativo!F33,9900000000),IF(AND(07_Comparativo!D45="OK",07_Comparativo!M45="OK"),07_Comparativo!F45,9900000000))&gt;=990000000,0,MIN(IF(AND(07_Comparativo!D9="OK",07_Comparativo!M9="OK"),07_Comparativo!F9,9900000000),IF(AND(07_Comparativo!D21="OK",07_Comparativo!M21="OK"),07_Comparativo!F21,9900000000),IF(AND(07_Comparativo!D33="OK",07_Comparativo!M33="OK"),07_Comparativo!F33,9900000000),IF(AND(07_Comparativo!D45="OK",07_Comparativo!M45="OK"),07_Comparativo!F45,9900000000)))</f>
        <v>59595</v>
      </c>
      <c r="G9" s="32" t="n">
        <f aca="false">IF(F9=0,0,D9-F9)</f>
        <v>7455</v>
      </c>
      <c r="H9" s="32" t="n">
        <f aca="false">G9*02_Premissas!$B$8</f>
        <v>89460</v>
      </c>
      <c r="I9" s="42" t="n">
        <f aca="false">IF(D9=0,0,G9/D9)</f>
        <v>0.111185682326622</v>
      </c>
      <c r="J9" s="33" t="n">
        <f aca="false">03_Baseline_Rotas!K9</f>
        <v>0.42</v>
      </c>
      <c r="K9" s="33" t="str">
        <f aca="false">IFERROR(N(MAX(IF(AND(07_Comparativo!D9="OK",07_Comparativo!N9="MELHOR"),07_Comparativo!E9,""),IF(AND(07_Comparativo!D21="OK",07_Comparativo!N21="MELHOR"),07_Comparativo!E21,""),IF(AND(07_Comparativo!D33="OK",07_Comparativo!N33="MELHOR"),07_Comparativo!E33,""),IF(AND(07_Comparativo!D45="OK",07_Comparativo!N45="MELHOR"),07_Comparativo!E45,""))),"—")</f>
        <v>—</v>
      </c>
      <c r="L9" s="43" t="n">
        <f aca="false">COUNTIFS(07_Comparativo!$A$6:$A$53,A9,07_Comparativo!$D$6:$D$53,"OK")</f>
        <v>2</v>
      </c>
    </row>
    <row r="10" customFormat="false" ht="15" hidden="false" customHeight="true" outlineLevel="0" collapsed="false">
      <c r="A10" s="30" t="str">
        <f aca="false">03_Baseline_Rotas!A10</f>
        <v>L05</v>
      </c>
      <c r="B10" s="30" t="str">
        <f aca="false">03_Baseline_Rotas!B10&amp;" → "&amp;03_Baseline_Rotas!C10</f>
        <v>CD Cajamar/SP → Salvador/BA</v>
      </c>
      <c r="C10" s="30" t="str">
        <f aca="false">03_Baseline_Rotas!E10</f>
        <v>FTL</v>
      </c>
      <c r="D10" s="32" t="n">
        <f aca="false">03_Baseline_Rotas!G27</f>
        <v>66770</v>
      </c>
      <c r="E10" s="43" t="str">
        <f aca="false">IFERROR(T(CONCATENATE(IF(AND(07_Comparativo!D10="OK",07_Comparativo!N10="MELHOR"),07_Comparativo!C10,""),IF(AND(07_Comparativo!D22="OK",07_Comparativo!N22="MELHOR"),07_Comparativo!C22,""),IF(AND(07_Comparativo!D34="OK",07_Comparativo!N34="MELHOR"),07_Comparativo!C34,""),IF(AND(07_Comparativo!D46="OK",07_Comparativo!N46="MELHOR"),07_Comparativo!C46,""))),"—")</f>
        <v>Nordeste Express</v>
      </c>
      <c r="F10" s="32" t="n">
        <f aca="false">IF(MIN(IF(AND(07_Comparativo!D10="OK",07_Comparativo!M10="OK"),07_Comparativo!F10,9900000000),IF(AND(07_Comparativo!D22="OK",07_Comparativo!M22="OK"),07_Comparativo!F22,9900000000),IF(AND(07_Comparativo!D34="OK",07_Comparativo!M34="OK"),07_Comparativo!F34,9900000000),IF(AND(07_Comparativo!D46="OK",07_Comparativo!M46="OK"),07_Comparativo!F46,9900000000))&gt;=990000000,0,MIN(IF(AND(07_Comparativo!D10="OK",07_Comparativo!M10="OK"),07_Comparativo!F10,9900000000),IF(AND(07_Comparativo!D22="OK",07_Comparativo!M22="OK"),07_Comparativo!F22,9900000000),IF(AND(07_Comparativo!D34="OK",07_Comparativo!M34="OK"),07_Comparativo!F34,9900000000),IF(AND(07_Comparativo!D46="OK",07_Comparativo!M46="OK"),07_Comparativo!F46,9900000000)))</f>
        <v>58330</v>
      </c>
      <c r="G10" s="32" t="n">
        <f aca="false">IF(F10=0,0,D10-F10)</f>
        <v>8440</v>
      </c>
      <c r="H10" s="32" t="n">
        <f aca="false">G10*02_Premissas!$B$8</f>
        <v>101280</v>
      </c>
      <c r="I10" s="42" t="n">
        <f aca="false">IF(D10=0,0,G10/D10)</f>
        <v>0.126404073685787</v>
      </c>
      <c r="J10" s="33" t="n">
        <f aca="false">03_Baseline_Rotas!K10</f>
        <v>0.58</v>
      </c>
      <c r="K10" s="33" t="str">
        <f aca="false">IFERROR(N(MAX(IF(AND(07_Comparativo!D10="OK",07_Comparativo!N10="MELHOR"),07_Comparativo!E10,""),IF(AND(07_Comparativo!D22="OK",07_Comparativo!N22="MELHOR"),07_Comparativo!E22,""),IF(AND(07_Comparativo!D34="OK",07_Comparativo!N34="MELHOR"),07_Comparativo!E34,""),IF(AND(07_Comparativo!D46="OK",07_Comparativo!N46="MELHOR"),07_Comparativo!E46,""))),"—")</f>
        <v>—</v>
      </c>
      <c r="L10" s="43" t="n">
        <f aca="false">COUNTIFS(07_Comparativo!$A$6:$A$53,A10,07_Comparativo!$D$6:$D$53,"OK")</f>
        <v>3</v>
      </c>
    </row>
    <row r="11" customFormat="false" ht="15" hidden="false" customHeight="true" outlineLevel="0" collapsed="false">
      <c r="A11" s="30" t="str">
        <f aca="false">03_Baseline_Rotas!A11</f>
        <v>L06</v>
      </c>
      <c r="B11" s="30" t="str">
        <f aca="false">03_Baseline_Rotas!B11&amp;" → "&amp;03_Baseline_Rotas!C11</f>
        <v>CD Cajamar/SP → Fortaleza/CE</v>
      </c>
      <c r="C11" s="30" t="str">
        <f aca="false">03_Baseline_Rotas!E11</f>
        <v>FTL</v>
      </c>
      <c r="D11" s="32" t="n">
        <f aca="false">03_Baseline_Rotas!G28</f>
        <v>56350</v>
      </c>
      <c r="E11" s="43" t="str">
        <f aca="false">IFERROR(T(CONCATENATE(IF(AND(07_Comparativo!D11="OK",07_Comparativo!N11="MELHOR"),07_Comparativo!C11,""),IF(AND(07_Comparativo!D23="OK",07_Comparativo!N23="MELHOR"),07_Comparativo!C23,""),IF(AND(07_Comparativo!D35="OK",07_Comparativo!N35="MELHOR"),07_Comparativo!C35,""),IF(AND(07_Comparativo!D47="OK",07_Comparativo!N47="MELHOR"),07_Comparativo!C47,""))),"—")</f>
        <v>Nordeste Express</v>
      </c>
      <c r="F11" s="32" t="n">
        <f aca="false">IF(MIN(IF(AND(07_Comparativo!D11="OK",07_Comparativo!M11="OK"),07_Comparativo!F11,9900000000),IF(AND(07_Comparativo!D23="OK",07_Comparativo!M23="OK"),07_Comparativo!F23,9900000000),IF(AND(07_Comparativo!D35="OK",07_Comparativo!M35="OK"),07_Comparativo!F35,9900000000),IF(AND(07_Comparativo!D47="OK",07_Comparativo!M47="OK"),07_Comparativo!F47,9900000000))&gt;=990000000,0,MIN(IF(AND(07_Comparativo!D11="OK",07_Comparativo!M11="OK"),07_Comparativo!F11,9900000000),IF(AND(07_Comparativo!D23="OK",07_Comparativo!M23="OK"),07_Comparativo!F23,9900000000),IF(AND(07_Comparativo!D35="OK",07_Comparativo!M35="OK"),07_Comparativo!F35,9900000000),IF(AND(07_Comparativo!D47="OK",07_Comparativo!M47="OK"),07_Comparativo!F47,9900000000)))</f>
        <v>49470</v>
      </c>
      <c r="G11" s="32" t="n">
        <f aca="false">IF(F11=0,0,D11-F11)</f>
        <v>6880</v>
      </c>
      <c r="H11" s="32" t="n">
        <f aca="false">G11*02_Premissas!$B$8</f>
        <v>82560</v>
      </c>
      <c r="I11" s="42" t="n">
        <f aca="false">IF(D11=0,0,G11/D11)</f>
        <v>0.12209405501331</v>
      </c>
      <c r="J11" s="33" t="n">
        <f aca="false">03_Baseline_Rotas!K11</f>
        <v>0.79</v>
      </c>
      <c r="K11" s="33" t="str">
        <f aca="false">IFERROR(N(MAX(IF(AND(07_Comparativo!D11="OK",07_Comparativo!N11="MELHOR"),07_Comparativo!E11,""),IF(AND(07_Comparativo!D23="OK",07_Comparativo!N23="MELHOR"),07_Comparativo!E23,""),IF(AND(07_Comparativo!D35="OK",07_Comparativo!N35="MELHOR"),07_Comparativo!E35,""),IF(AND(07_Comparativo!D47="OK",07_Comparativo!N47="MELHOR"),07_Comparativo!E47,""))),"—")</f>
        <v>—</v>
      </c>
      <c r="L11" s="43" t="n">
        <f aca="false">COUNTIFS(07_Comparativo!$A$6:$A$53,A11,07_Comparativo!$D$6:$D$53,"OK")</f>
        <v>2</v>
      </c>
    </row>
    <row r="12" customFormat="false" ht="15" hidden="false" customHeight="true" outlineLevel="0" collapsed="false">
      <c r="A12" s="30" t="str">
        <f aca="false">03_Baseline_Rotas!A12</f>
        <v>L07</v>
      </c>
      <c r="B12" s="30" t="str">
        <f aca="false">03_Baseline_Rotas!B12&amp;" → "&amp;03_Baseline_Rotas!C12</f>
        <v>CD Cajamar/SP → Campinas/SP</v>
      </c>
      <c r="C12" s="30" t="str">
        <f aca="false">03_Baseline_Rotas!E12</f>
        <v>LTL</v>
      </c>
      <c r="D12" s="32" t="n">
        <f aca="false">03_Baseline_Rotas!G29</f>
        <v>31080</v>
      </c>
      <c r="E12" s="43" t="str">
        <f aca="false">IFERROR(T(CONCATENATE(IF(AND(07_Comparativo!D12="OK",07_Comparativo!N12="MELHOR"),07_Comparativo!C12,""),IF(AND(07_Comparativo!D24="OK",07_Comparativo!N24="MELHOR"),07_Comparativo!C24,""),IF(AND(07_Comparativo!D36="OK",07_Comparativo!N36="MELHOR"),07_Comparativo!C36,""),IF(AND(07_Comparativo!D48="OK",07_Comparativo!N48="MELHOR"),07_Comparativo!C48,""))),"—")</f>
        <v>RodoSul Log</v>
      </c>
      <c r="F12" s="32" t="n">
        <f aca="false">IF(MIN(IF(AND(07_Comparativo!D12="OK",07_Comparativo!M12="OK"),07_Comparativo!F12,9900000000),IF(AND(07_Comparativo!D24="OK",07_Comparativo!M24="OK"),07_Comparativo!F24,9900000000),IF(AND(07_Comparativo!D36="OK",07_Comparativo!M36="OK"),07_Comparativo!F36,9900000000),IF(AND(07_Comparativo!D48="OK",07_Comparativo!M48="OK"),07_Comparativo!F48,9900000000))&gt;=990000000,0,MIN(IF(AND(07_Comparativo!D12="OK",07_Comparativo!M12="OK"),07_Comparativo!F12,9900000000),IF(AND(07_Comparativo!D24="OK",07_Comparativo!M24="OK"),07_Comparativo!F24,9900000000),IF(AND(07_Comparativo!D36="OK",07_Comparativo!M36="OK"),07_Comparativo!F36,9900000000),IF(AND(07_Comparativo!D48="OK",07_Comparativo!M48="OK"),07_Comparativo!F48,9900000000)))</f>
        <v>28680</v>
      </c>
      <c r="G12" s="32" t="n">
        <f aca="false">IF(F12=0,0,D12-F12)</f>
        <v>2400</v>
      </c>
      <c r="H12" s="32" t="n">
        <f aca="false">G12*02_Premissas!$B$8</f>
        <v>28800</v>
      </c>
      <c r="I12" s="42" t="n">
        <f aca="false">IF(D12=0,0,G12/D12)</f>
        <v>0.0772200772200772</v>
      </c>
      <c r="J12" s="33" t="n">
        <f aca="false">03_Baseline_Rotas!K12</f>
        <v>0.45</v>
      </c>
      <c r="K12" s="33" t="str">
        <f aca="false">IFERROR(N(MAX(IF(AND(07_Comparativo!D12="OK",07_Comparativo!N12="MELHOR"),07_Comparativo!E12,""),IF(AND(07_Comparativo!D24="OK",07_Comparativo!N24="MELHOR"),07_Comparativo!E24,""),IF(AND(07_Comparativo!D36="OK",07_Comparativo!N36="MELHOR"),07_Comparativo!E36,""),IF(AND(07_Comparativo!D48="OK",07_Comparativo!N48="MELHOR"),07_Comparativo!E48,""))),"—")</f>
        <v>—</v>
      </c>
      <c r="L12" s="43" t="n">
        <f aca="false">COUNTIFS(07_Comparativo!$A$6:$A$53,A12,07_Comparativo!$D$6:$D$53,"OK")</f>
        <v>4</v>
      </c>
    </row>
    <row r="13" customFormat="false" ht="15" hidden="false" customHeight="true" outlineLevel="0" collapsed="false">
      <c r="A13" s="30" t="str">
        <f aca="false">03_Baseline_Rotas!A13</f>
        <v>L08</v>
      </c>
      <c r="B13" s="30" t="str">
        <f aca="false">03_Baseline_Rotas!B13&amp;" → "&amp;03_Baseline_Rotas!C13</f>
        <v>CD Cajamar/SP → Interior SP (cluster)</v>
      </c>
      <c r="C13" s="30" t="str">
        <f aca="false">03_Baseline_Rotas!E13</f>
        <v>LTL</v>
      </c>
      <c r="D13" s="32" t="n">
        <f aca="false">03_Baseline_Rotas!G30</f>
        <v>41280</v>
      </c>
      <c r="E13" s="43" t="str">
        <f aca="false">IFERROR(T(CONCATENATE(IF(AND(07_Comparativo!D13="OK",07_Comparativo!N13="MELHOR"),07_Comparativo!C13,""),IF(AND(07_Comparativo!D25="OK",07_Comparativo!N25="MELHOR"),07_Comparativo!C25,""),IF(AND(07_Comparativo!D37="OK",07_Comparativo!N37="MELHOR"),07_Comparativo!C37,""),IF(AND(07_Comparativo!D49="OK",07_Comparativo!N49="MELHOR"),07_Comparativo!C49,""))),"—")</f>
        <v>RodoSul Log</v>
      </c>
      <c r="F13" s="32" t="n">
        <f aca="false">IF(MIN(IF(AND(07_Comparativo!D13="OK",07_Comparativo!M13="OK"),07_Comparativo!F13,9900000000),IF(AND(07_Comparativo!D25="OK",07_Comparativo!M25="OK"),07_Comparativo!F25,9900000000),IF(AND(07_Comparativo!D37="OK",07_Comparativo!M37="OK"),07_Comparativo!F37,9900000000),IF(AND(07_Comparativo!D49="OK",07_Comparativo!M49="OK"),07_Comparativo!F49,9900000000))&gt;=990000000,0,MIN(IF(AND(07_Comparativo!D13="OK",07_Comparativo!M13="OK"),07_Comparativo!F13,9900000000),IF(AND(07_Comparativo!D25="OK",07_Comparativo!M25="OK"),07_Comparativo!F25,9900000000),IF(AND(07_Comparativo!D37="OK",07_Comparativo!M37="OK"),07_Comparativo!F37,9900000000),IF(AND(07_Comparativo!D49="OK",07_Comparativo!M49="OK"),07_Comparativo!F49,9900000000)))</f>
        <v>38640</v>
      </c>
      <c r="G13" s="32" t="n">
        <f aca="false">IF(F13=0,0,D13-F13)</f>
        <v>2640</v>
      </c>
      <c r="H13" s="32" t="n">
        <f aca="false">G13*02_Premissas!$B$8</f>
        <v>31680</v>
      </c>
      <c r="I13" s="42" t="n">
        <f aca="false">IF(D13=0,0,G13/D13)</f>
        <v>0.063953488372093</v>
      </c>
      <c r="J13" s="33" t="n">
        <f aca="false">03_Baseline_Rotas!K13</f>
        <v>0.41</v>
      </c>
      <c r="K13" s="33" t="str">
        <f aca="false">IFERROR(N(MAX(IF(AND(07_Comparativo!D13="OK",07_Comparativo!N13="MELHOR"),07_Comparativo!E13,""),IF(AND(07_Comparativo!D25="OK",07_Comparativo!N25="MELHOR"),07_Comparativo!E25,""),IF(AND(07_Comparativo!D37="OK",07_Comparativo!N37="MELHOR"),07_Comparativo!E37,""),IF(AND(07_Comparativo!D49="OK",07_Comparativo!N49="MELHOR"),07_Comparativo!E49,""))),"—")</f>
        <v>—</v>
      </c>
      <c r="L13" s="43" t="n">
        <f aca="false">COUNTIFS(07_Comparativo!$A$6:$A$53,A13,07_Comparativo!$D$6:$D$53,"OK")</f>
        <v>4</v>
      </c>
    </row>
    <row r="14" customFormat="false" ht="15" hidden="false" customHeight="true" outlineLevel="0" collapsed="false">
      <c r="A14" s="30" t="str">
        <f aca="false">03_Baseline_Rotas!A14</f>
        <v>L09</v>
      </c>
      <c r="B14" s="30" t="str">
        <f aca="false">03_Baseline_Rotas!B14&amp;" → "&amp;03_Baseline_Rotas!C14</f>
        <v>CD Cajamar/SP → Last mile Capital SP</v>
      </c>
      <c r="C14" s="30" t="str">
        <f aca="false">03_Baseline_Rotas!E14</f>
        <v>Last mile</v>
      </c>
      <c r="D14" s="32" t="n">
        <f aca="false">03_Baseline_Rotas!G31</f>
        <v>122850</v>
      </c>
      <c r="E14" s="43" t="str">
        <f aca="false">IFERROR(T(CONCATENATE(IF(AND(07_Comparativo!D14="OK",07_Comparativo!N14="MELHOR"),07_Comparativo!C14,""),IF(AND(07_Comparativo!D26="OK",07_Comparativo!N26="MELHOR"),07_Comparativo!C26,""),IF(AND(07_Comparativo!D38="OK",07_Comparativo!N38="MELHOR"),07_Comparativo!C38,""),IF(AND(07_Comparativo!D50="OK",07_Comparativo!N50="MELHOR"),07_Comparativo!C50,""))),"—")</f>
        <v>Prime Mile SP</v>
      </c>
      <c r="F14" s="32" t="n">
        <f aca="false">IF(MIN(IF(AND(07_Comparativo!D14="OK",07_Comparativo!M14="OK"),07_Comparativo!F14,9900000000),IF(AND(07_Comparativo!D26="OK",07_Comparativo!M26="OK"),07_Comparativo!F26,9900000000),IF(AND(07_Comparativo!D38="OK",07_Comparativo!M38="OK"),07_Comparativo!F38,9900000000),IF(AND(07_Comparativo!D50="OK",07_Comparativo!M50="OK"),07_Comparativo!F50,9900000000))&gt;=990000000,0,MIN(IF(AND(07_Comparativo!D14="OK",07_Comparativo!M14="OK"),07_Comparativo!F14,9900000000),IF(AND(07_Comparativo!D26="OK",07_Comparativo!M26="OK"),07_Comparativo!F26,9900000000),IF(AND(07_Comparativo!D38="OK",07_Comparativo!M38="OK"),07_Comparativo!F38,9900000000),IF(AND(07_Comparativo!D50="OK",07_Comparativo!M50="OK"),07_Comparativo!F50,9900000000)))</f>
        <v>99540</v>
      </c>
      <c r="G14" s="32" t="n">
        <f aca="false">IF(F14=0,0,D14-F14)</f>
        <v>23310</v>
      </c>
      <c r="H14" s="32" t="n">
        <f aca="false">G14*02_Premissas!$B$8</f>
        <v>279720</v>
      </c>
      <c r="I14" s="42" t="n">
        <f aca="false">IF(D14=0,0,G14/D14)</f>
        <v>0.18974358974359</v>
      </c>
      <c r="J14" s="33" t="n">
        <f aca="false">03_Baseline_Rotas!K14</f>
        <v>1.85</v>
      </c>
      <c r="K14" s="33" t="str">
        <f aca="false">IFERROR(N(MAX(IF(AND(07_Comparativo!D14="OK",07_Comparativo!N14="MELHOR"),07_Comparativo!E14,""),IF(AND(07_Comparativo!D26="OK",07_Comparativo!N26="MELHOR"),07_Comparativo!E26,""),IF(AND(07_Comparativo!D38="OK",07_Comparativo!N38="MELHOR"),07_Comparativo!E38,""),IF(AND(07_Comparativo!D50="OK",07_Comparativo!N50="MELHOR"),07_Comparativo!E50,""))),"—")</f>
        <v>—</v>
      </c>
      <c r="L14" s="43" t="n">
        <f aca="false">COUNTIFS(07_Comparativo!$A$6:$A$53,A14,07_Comparativo!$D$6:$D$53,"OK")</f>
        <v>2</v>
      </c>
    </row>
    <row r="15" customFormat="false" ht="15" hidden="false" customHeight="true" outlineLevel="0" collapsed="false">
      <c r="A15" s="30" t="str">
        <f aca="false">03_Baseline_Rotas!A15</f>
        <v>L10</v>
      </c>
      <c r="B15" s="30" t="str">
        <f aca="false">03_Baseline_Rotas!B15&amp;" → "&amp;03_Baseline_Rotas!C15</f>
        <v>CD Cajamar/SP → Last mile ABC/SP</v>
      </c>
      <c r="C15" s="30" t="str">
        <f aca="false">03_Baseline_Rotas!E15</f>
        <v>Last mile</v>
      </c>
      <c r="D15" s="32" t="n">
        <f aca="false">03_Baseline_Rotas!G32</f>
        <v>61170</v>
      </c>
      <c r="E15" s="43" t="str">
        <f aca="false">IFERROR(T(CONCATENATE(IF(AND(07_Comparativo!D15="OK",07_Comparativo!N15="MELHOR"),07_Comparativo!C15,""),IF(AND(07_Comparativo!D27="OK",07_Comparativo!N27="MELHOR"),07_Comparativo!C27,""),IF(AND(07_Comparativo!D39="OK",07_Comparativo!N39="MELHOR"),07_Comparativo!C39,""),IF(AND(07_Comparativo!D51="OK",07_Comparativo!N51="MELHOR"),07_Comparativo!C51,""))),"—")</f>
        <v>Prime Mile SP</v>
      </c>
      <c r="F15" s="32" t="n">
        <f aca="false">IF(MIN(IF(AND(07_Comparativo!D15="OK",07_Comparativo!M15="OK"),07_Comparativo!F15,9900000000),IF(AND(07_Comparativo!D27="OK",07_Comparativo!M27="OK"),07_Comparativo!F27,9900000000),IF(AND(07_Comparativo!D39="OK",07_Comparativo!M39="OK"),07_Comparativo!F39,9900000000),IF(AND(07_Comparativo!D51="OK",07_Comparativo!M51="OK"),07_Comparativo!F51,9900000000))&gt;=990000000,0,MIN(IF(AND(07_Comparativo!D15="OK",07_Comparativo!M15="OK"),07_Comparativo!F15,9900000000),IF(AND(07_Comparativo!D27="OK",07_Comparativo!M27="OK"),07_Comparativo!F27,9900000000),IF(AND(07_Comparativo!D39="OK",07_Comparativo!M39="OK"),07_Comparativo!F39,9900000000),IF(AND(07_Comparativo!D51="OK",07_Comparativo!M51="OK"),07_Comparativo!F51,9900000000)))</f>
        <v>51450</v>
      </c>
      <c r="G15" s="32" t="n">
        <f aca="false">IF(F15=0,0,D15-F15)</f>
        <v>9720.00000000001</v>
      </c>
      <c r="H15" s="32" t="n">
        <f aca="false">G15*02_Premissas!$B$8</f>
        <v>116640</v>
      </c>
      <c r="I15" s="42" t="n">
        <f aca="false">IF(D15=0,0,G15/D15)</f>
        <v>0.158901422265817</v>
      </c>
      <c r="J15" s="33" t="n">
        <f aca="false">03_Baseline_Rotas!K15</f>
        <v>1.62</v>
      </c>
      <c r="K15" s="33" t="str">
        <f aca="false">IFERROR(N(MAX(IF(AND(07_Comparativo!D15="OK",07_Comparativo!N15="MELHOR"),07_Comparativo!E15,""),IF(AND(07_Comparativo!D27="OK",07_Comparativo!N27="MELHOR"),07_Comparativo!E27,""),IF(AND(07_Comparativo!D39="OK",07_Comparativo!N39="MELHOR"),07_Comparativo!E39,""),IF(AND(07_Comparativo!D51="OK",07_Comparativo!N51="MELHOR"),07_Comparativo!E51,""))),"—")</f>
        <v>—</v>
      </c>
      <c r="L15" s="43" t="n">
        <f aca="false">COUNTIFS(07_Comparativo!$A$6:$A$53,A15,07_Comparativo!$D$6:$D$53,"OK")</f>
        <v>2</v>
      </c>
    </row>
    <row r="16" customFormat="false" ht="15" hidden="false" customHeight="true" outlineLevel="0" collapsed="false">
      <c r="A16" s="30" t="str">
        <f aca="false">03_Baseline_Rotas!A16</f>
        <v>L11</v>
      </c>
      <c r="B16" s="30" t="str">
        <f aca="false">03_Baseline_Rotas!B16&amp;" → "&amp;03_Baseline_Rotas!C16</f>
        <v>CD Cajamar/SP → Brasília/DF</v>
      </c>
      <c r="C16" s="30" t="str">
        <f aca="false">03_Baseline_Rotas!E16</f>
        <v>FTL</v>
      </c>
      <c r="D16" s="32" t="n">
        <f aca="false">03_Baseline_Rotas!G33</f>
        <v>44490</v>
      </c>
      <c r="E16" s="43" t="str">
        <f aca="false">IFERROR(T(CONCATENATE(IF(AND(07_Comparativo!D16="OK",07_Comparativo!N16="MELHOR"),07_Comparativo!C16,""),IF(AND(07_Comparativo!D28="OK",07_Comparativo!N28="MELHOR"),07_Comparativo!C28,""),IF(AND(07_Comparativo!D40="OK",07_Comparativo!N40="MELHOR"),07_Comparativo!C40,""),IF(AND(07_Comparativo!D52="OK",07_Comparativo!N52="MELHOR"),07_Comparativo!C52,""))),"—")</f>
        <v>Nordeste Express</v>
      </c>
      <c r="F16" s="32" t="n">
        <f aca="false">IF(MIN(IF(AND(07_Comparativo!D16="OK",07_Comparativo!M16="OK"),07_Comparativo!F16,9900000000),IF(AND(07_Comparativo!D28="OK",07_Comparativo!M28="OK"),07_Comparativo!F28,9900000000),IF(AND(07_Comparativo!D40="OK",07_Comparativo!M40="OK"),07_Comparativo!F40,9900000000),IF(AND(07_Comparativo!D52="OK",07_Comparativo!M52="OK"),07_Comparativo!F52,9900000000))&gt;=990000000,0,MIN(IF(AND(07_Comparativo!D16="OK",07_Comparativo!M16="OK"),07_Comparativo!F16,9900000000),IF(AND(07_Comparativo!D28="OK",07_Comparativo!M28="OK"),07_Comparativo!F28,9900000000),IF(AND(07_Comparativo!D40="OK",07_Comparativo!M40="OK"),07_Comparativo!F40,9900000000),IF(AND(07_Comparativo!D52="OK",07_Comparativo!M52="OK"),07_Comparativo!F52,9900000000)))</f>
        <v>39810</v>
      </c>
      <c r="G16" s="32" t="n">
        <f aca="false">IF(F16=0,0,D16-F16)</f>
        <v>4680</v>
      </c>
      <c r="H16" s="32" t="n">
        <f aca="false">G16*02_Premissas!$B$8</f>
        <v>56160</v>
      </c>
      <c r="I16" s="42" t="n">
        <f aca="false">IF(D16=0,0,G16/D16)</f>
        <v>0.105192178017532</v>
      </c>
      <c r="J16" s="33" t="n">
        <f aca="false">03_Baseline_Rotas!K16</f>
        <v>0.49</v>
      </c>
      <c r="K16" s="33" t="str">
        <f aca="false">IFERROR(N(MAX(IF(AND(07_Comparativo!D16="OK",07_Comparativo!N16="MELHOR"),07_Comparativo!E16,""),IF(AND(07_Comparativo!D28="OK",07_Comparativo!N28="MELHOR"),07_Comparativo!E28,""),IF(AND(07_Comparativo!D40="OK",07_Comparativo!N40="MELHOR"),07_Comparativo!E40,""),IF(AND(07_Comparativo!D52="OK",07_Comparativo!N52="MELHOR"),07_Comparativo!E52,""))),"—")</f>
        <v>—</v>
      </c>
      <c r="L16" s="43" t="n">
        <f aca="false">COUNTIFS(07_Comparativo!$A$6:$A$53,A16,07_Comparativo!$D$6:$D$53,"OK")</f>
        <v>3</v>
      </c>
    </row>
    <row r="17" customFormat="false" ht="15" hidden="false" customHeight="true" outlineLevel="0" collapsed="false">
      <c r="A17" s="30" t="str">
        <f aca="false">03_Baseline_Rotas!A17</f>
        <v>L12</v>
      </c>
      <c r="B17" s="30" t="str">
        <f aca="false">03_Baseline_Rotas!B17&amp;" → "&amp;03_Baseline_Rotas!C17</f>
        <v>CD Cajamar/SP → Goiânia/GO</v>
      </c>
      <c r="C17" s="30" t="str">
        <f aca="false">03_Baseline_Rotas!E17</f>
        <v>FTL</v>
      </c>
      <c r="D17" s="32" t="n">
        <f aca="false">03_Baseline_Rotas!G34</f>
        <v>28220</v>
      </c>
      <c r="E17" s="43" t="str">
        <f aca="false">IFERROR(T(CONCATENATE(IF(AND(07_Comparativo!D17="OK",07_Comparativo!N17="MELHOR"),07_Comparativo!C17,""),IF(AND(07_Comparativo!D29="OK",07_Comparativo!N29="MELHOR"),07_Comparativo!C29,""),IF(AND(07_Comparativo!D41="OK",07_Comparativo!N41="MELHOR"),07_Comparativo!C41,""),IF(AND(07_Comparativo!D53="OK",07_Comparativo!N53="MELHOR"),07_Comparativo!C53,""))),"—")</f>
        <v>Nordeste Express</v>
      </c>
      <c r="F17" s="32" t="n">
        <f aca="false">IF(MIN(IF(AND(07_Comparativo!D17="OK",07_Comparativo!M17="OK"),07_Comparativo!F17,9900000000),IF(AND(07_Comparativo!D29="OK",07_Comparativo!M29="OK"),07_Comparativo!F29,9900000000),IF(AND(07_Comparativo!D41="OK",07_Comparativo!M41="OK"),07_Comparativo!F41,9900000000),IF(AND(07_Comparativo!D53="OK",07_Comparativo!M53="OK"),07_Comparativo!F53,9900000000))&gt;=990000000,0,MIN(IF(AND(07_Comparativo!D17="OK",07_Comparativo!M17="OK"),07_Comparativo!F17,9900000000),IF(AND(07_Comparativo!D29="OK",07_Comparativo!M29="OK"),07_Comparativo!F29,9900000000),IF(AND(07_Comparativo!D41="OK",07_Comparativo!M41="OK"),07_Comparativo!F41,9900000000),IF(AND(07_Comparativo!D53="OK",07_Comparativo!M53="OK"),07_Comparativo!F53,9900000000)))</f>
        <v>25550</v>
      </c>
      <c r="G17" s="32" t="n">
        <f aca="false">IF(F17=0,0,D17-F17)</f>
        <v>2670</v>
      </c>
      <c r="H17" s="32" t="n">
        <f aca="false">G17*02_Premissas!$B$8</f>
        <v>32040</v>
      </c>
      <c r="I17" s="42" t="n">
        <f aca="false">IF(D17=0,0,G17/D17)</f>
        <v>0.0946137491141035</v>
      </c>
      <c r="J17" s="33" t="n">
        <f aca="false">03_Baseline_Rotas!K17</f>
        <v>0.46</v>
      </c>
      <c r="K17" s="33" t="str">
        <f aca="false">IFERROR(N(MAX(IF(AND(07_Comparativo!D17="OK",07_Comparativo!N17="MELHOR"),07_Comparativo!E17,""),IF(AND(07_Comparativo!D29="OK",07_Comparativo!N29="MELHOR"),07_Comparativo!E29,""),IF(AND(07_Comparativo!D41="OK",07_Comparativo!N41="MELHOR"),07_Comparativo!E41,""),IF(AND(07_Comparativo!D53="OK",07_Comparativo!N53="MELHOR"),07_Comparativo!E53,""))),"—")</f>
        <v>—</v>
      </c>
      <c r="L17" s="43" t="n">
        <f aca="false">COUNTIFS(07_Comparativo!$A$6:$A$53,A17,07_Comparativo!$D$6:$D$53,"OK")</f>
        <v>3</v>
      </c>
    </row>
    <row r="18" customFormat="false" ht="15" hidden="false" customHeight="true" outlineLevel="0" collapsed="false">
      <c r="A18" s="34" t="s">
        <v>189</v>
      </c>
      <c r="B18" s="45"/>
      <c r="C18" s="45"/>
      <c r="D18" s="36" t="n">
        <f aca="false">SUM(D6:D17)</f>
        <v>767950</v>
      </c>
      <c r="E18" s="45"/>
      <c r="F18" s="36" t="n">
        <f aca="false">SUM(F6:F17)</f>
        <v>680975</v>
      </c>
      <c r="G18" s="36" t="n">
        <f aca="false">SUM(G6:G17)</f>
        <v>86975</v>
      </c>
      <c r="H18" s="36" t="n">
        <f aca="false">SUM(H6:H17)</f>
        <v>1043700</v>
      </c>
      <c r="I18" s="46" t="n">
        <f aca="false">IF(D18=0,0,G18/D18)</f>
        <v>0.113256071358812</v>
      </c>
      <c r="J18" s="45"/>
      <c r="K18" s="45"/>
      <c r="L18" s="47" t="n">
        <f aca="false">SUM(L6:L17)</f>
        <v>33</v>
      </c>
    </row>
    <row r="20" customFormat="false" ht="15" hidden="false" customHeight="true" outlineLevel="0" collapsed="false">
      <c r="A20" s="7" t="s">
        <v>263</v>
      </c>
      <c r="B20" s="48" t="n">
        <f aca="false">02_Premissas!B20</f>
        <v>0.08</v>
      </c>
      <c r="C20" s="17" t="str">
        <f aca="false">IF(I18&gt;=B20,"META ATINGIDA NO CENÁRIO 100% MELHOR LANE","ABAIXO DA META — use mix ou renegocie long haul")</f>
        <v>META ATINGIDA NO CENÁRIO 100% MELHOR LANE</v>
      </c>
    </row>
  </sheetData>
  <mergeCells count="2">
    <mergeCell ref="A1:L1"/>
    <mergeCell ref="A2:L2"/>
  </mergeCells>
  <conditionalFormatting sqref="I6:I17">
    <cfRule type="colorScale" priority="2">
      <colorScale>
        <cfvo type="num" val="0"/>
        <cfvo type="num" val="0.08"/>
        <cfvo type="num" val="0.2"/>
        <color rgb="FFFFCDD2"/>
        <color rgb="FFFFF9C4"/>
        <color rgb="FFA5D6A7"/>
      </colorScale>
    </cfRule>
  </conditionalFormatting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8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20"/>
    <col collapsed="false" customWidth="true" hidden="false" outlineLevel="0" max="6" min="6" style="1" width="12"/>
    <col collapsed="false" customWidth="true" hidden="false" outlineLevel="0" max="7" min="7" style="1" width="14"/>
    <col collapsed="false" customWidth="true" hidden="false" outlineLevel="0" max="10" min="8" style="1" width="12"/>
  </cols>
  <sheetData>
    <row r="1" customFormat="false" ht="27.75" hidden="false" customHeight="true" outlineLevel="0" collapsed="false">
      <c r="A1" s="2" t="s">
        <v>264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8" hidden="false" customHeight="true" outlineLevel="0" collapsed="false">
      <c r="A2" s="3" t="s">
        <v>265</v>
      </c>
      <c r="B2" s="3"/>
      <c r="C2" s="3"/>
      <c r="D2" s="3"/>
      <c r="E2" s="3"/>
      <c r="F2" s="3"/>
      <c r="G2" s="3"/>
      <c r="H2" s="3"/>
      <c r="I2" s="3"/>
      <c r="J2" s="3"/>
    </row>
    <row r="5" customFormat="false" ht="27.75" hidden="false" customHeight="true" outlineLevel="0" collapsed="false">
      <c r="A5" s="9" t="s">
        <v>192</v>
      </c>
      <c r="B5" s="9" t="s">
        <v>193</v>
      </c>
      <c r="C5" s="9" t="s">
        <v>266</v>
      </c>
      <c r="D5" s="9" t="s">
        <v>267</v>
      </c>
      <c r="E5" s="9" t="s">
        <v>268</v>
      </c>
      <c r="F5" s="9" t="s">
        <v>269</v>
      </c>
      <c r="G5" s="9" t="s">
        <v>270</v>
      </c>
      <c r="H5" s="9" t="s">
        <v>271</v>
      </c>
      <c r="I5" s="9" t="s">
        <v>272</v>
      </c>
      <c r="J5" s="9" t="s">
        <v>273</v>
      </c>
    </row>
    <row r="6" customFormat="false" ht="15" hidden="false" customHeight="true" outlineLevel="0" collapsed="false">
      <c r="A6" s="19" t="s">
        <v>200</v>
      </c>
      <c r="B6" s="30" t="str">
        <f aca="false">VLOOKUP(A6,04_Cadastro_Carriers!A6:B9,2,FALSE())</f>
        <v>TransLeste</v>
      </c>
      <c r="C6" s="43" t="n">
        <f aca="false">COUNTIFS(07_Comparativo!$B$6:$B$53,A6,07_Comparativo!$D$6:$D$53,"OK")</f>
        <v>12</v>
      </c>
      <c r="D6" s="32" t="n">
        <f aca="false">SUMIFS(07_Comparativo!$G$6:$G$53,07_Comparativo!$B$6:$B$53,A6,07_Comparativo!$D$6:$D$53,"OK")</f>
        <v>9132660</v>
      </c>
      <c r="E6" s="32" t="n">
        <f aca="false">SUMIFS(07_Comparativo!$H$6:$H$53,07_Comparativo!$B$6:$B$53,A6,07_Comparativo!$D$6:$D$53,"OK")*02_Premissas!$B$8</f>
        <v>9215400</v>
      </c>
      <c r="F6" s="42" t="n">
        <f aca="false">IF(E6=0,0,(D6-E6)/E6)</f>
        <v>-0.00897844911778111</v>
      </c>
      <c r="G6" s="49" t="n">
        <f aca="false">AVERAGEIFS(07_Comparativo!$K$6:$K$53,07_Comparativo!$B$6:$B$53,A6,07_Comparativo!$D$6:$D$53,"OK")</f>
        <v>22.25</v>
      </c>
      <c r="H6" s="42" t="n">
        <f aca="false">AVERAGEIFS(07_Comparativo!$L$6:$L$53,07_Comparativo!$B$6:$B$53,A6,07_Comparativo!$D$6:$D$53,"OK")</f>
        <v>0.89</v>
      </c>
      <c r="I6" s="50" t="n">
        <f aca="false">ROUND(02_Premissas!$B$11*MAX(0,MIN(100,50-F6*250))+02_Premissas!$B$12*MAX(0,MIN(100,100-G6))+02_Premissas!$B$13*(H6*100)+02_Premissas!$B$14*(C6/12*100)+02_Premissas!$B$15*IF(VLOOKUP(A6,04_Cadastro_Carriers!A6:F9,6,FALSE())="Sim",100,40),1)</f>
        <v>71.3</v>
      </c>
      <c r="J6" s="43" t="n">
        <f aca="false">RANK(I6,$I$6:$I$9,0)</f>
        <v>3</v>
      </c>
    </row>
    <row r="7" customFormat="false" ht="15" hidden="false" customHeight="true" outlineLevel="0" collapsed="false">
      <c r="A7" s="19" t="s">
        <v>207</v>
      </c>
      <c r="B7" s="30" t="str">
        <f aca="false">VLOOKUP(A7,04_Cadastro_Carriers!A6:B9,2,FALSE())</f>
        <v>RodoSul Log</v>
      </c>
      <c r="C7" s="43" t="n">
        <f aca="false">COUNTIFS(07_Comparativo!$B$6:$B$53,A7,07_Comparativo!$D$6:$D$53,"OK")</f>
        <v>9</v>
      </c>
      <c r="D7" s="32" t="n">
        <f aca="false">SUMIFS(07_Comparativo!$G$6:$G$53,07_Comparativo!$B$6:$B$53,A7,07_Comparativo!$D$6:$D$53,"OK")</f>
        <v>6063780</v>
      </c>
      <c r="E7" s="32" t="n">
        <f aca="false">SUMIFS(07_Comparativo!$H$6:$H$53,07_Comparativo!$B$6:$B$53,A7,07_Comparativo!$D$6:$D$53,"OK")*02_Premissas!$B$8</f>
        <v>6330960</v>
      </c>
      <c r="F7" s="42" t="n">
        <f aca="false">IF(E7=0,0,(D7-E7)/E7)</f>
        <v>-0.0422021304825808</v>
      </c>
      <c r="G7" s="49" t="n">
        <f aca="false">AVERAGEIFS(07_Comparativo!$K$6:$K$53,07_Comparativo!$B$6:$B$53,A7,07_Comparativo!$D$6:$D$53,"OK")</f>
        <v>16</v>
      </c>
      <c r="H7" s="42" t="n">
        <f aca="false">AVERAGEIFS(07_Comparativo!$L$6:$L$53,07_Comparativo!$B$6:$B$53,A7,07_Comparativo!$D$6:$D$53,"OK")</f>
        <v>0.926666666666667</v>
      </c>
      <c r="I7" s="50" t="n">
        <f aca="false">ROUND(02_Premissas!$B$11*MAX(0,MIN(100,50-F7*250))+02_Premissas!$B$12*MAX(0,MIN(100,100-G7))+02_Premissas!$B$13*(H7*100)+02_Premissas!$B$14*(C7/12*100)+02_Premissas!$B$15*IF(VLOOKUP(A7,04_Cadastro_Carriers!A6:F9,6,FALSE())="Sim",100,40),1)</f>
        <v>74.6</v>
      </c>
      <c r="J7" s="43" t="n">
        <f aca="false">RANK(I7,$I$6:$I$9,0)</f>
        <v>2</v>
      </c>
    </row>
    <row r="8" customFormat="false" ht="15" hidden="false" customHeight="true" outlineLevel="0" collapsed="false">
      <c r="A8" s="19" t="s">
        <v>212</v>
      </c>
      <c r="B8" s="30" t="str">
        <f aca="false">VLOOKUP(A8,04_Cadastro_Carriers!A6:B9,2,FALSE())</f>
        <v>Nordeste Express</v>
      </c>
      <c r="C8" s="43" t="n">
        <f aca="false">COUNTIFS(07_Comparativo!$B$6:$B$53,A8,07_Comparativo!$D$6:$D$53,"OK")</f>
        <v>8</v>
      </c>
      <c r="D8" s="32" t="n">
        <f aca="false">SUMIFS(07_Comparativo!$G$6:$G$53,07_Comparativo!$B$6:$B$53,A8,07_Comparativo!$D$6:$D$53,"OK")</f>
        <v>5399040</v>
      </c>
      <c r="E8" s="32" t="n">
        <f aca="false">SUMIFS(07_Comparativo!$H$6:$H$53,07_Comparativo!$B$6:$B$53,A8,07_Comparativo!$D$6:$D$53,"OK")*02_Premissas!$B$8</f>
        <v>5521800</v>
      </c>
      <c r="F8" s="42" t="n">
        <f aca="false">IF(E8=0,0,(D8-E8)/E8)</f>
        <v>-0.0222318809083994</v>
      </c>
      <c r="G8" s="49" t="n">
        <f aca="false">AVERAGEIFS(07_Comparativo!$K$6:$K$53,07_Comparativo!$B$6:$B$53,A8,07_Comparativo!$D$6:$D$53,"OK")</f>
        <v>21.25</v>
      </c>
      <c r="H8" s="42" t="n">
        <f aca="false">AVERAGEIFS(07_Comparativo!$L$6:$L$53,07_Comparativo!$B$6:$B$53,A8,07_Comparativo!$D$6:$D$53,"OK")</f>
        <v>0.90125</v>
      </c>
      <c r="I8" s="50" t="n">
        <f aca="false">ROUND(02_Premissas!$B$11*MAX(0,MIN(100,50-F8*250))+02_Premissas!$B$12*MAX(0,MIN(100,100-G8))+02_Premissas!$B$13*(H8*100)+02_Premissas!$B$14*(C8/12*100)+02_Premissas!$B$15*IF(VLOOKUP(A8,04_Cadastro_Carriers!A6:F9,6,FALSE())="Sim",100,40),1)</f>
        <v>69.9</v>
      </c>
      <c r="J8" s="43" t="n">
        <f aca="false">RANK(I8,$I$6:$I$9,0)</f>
        <v>4</v>
      </c>
    </row>
    <row r="9" customFormat="false" ht="15" hidden="false" customHeight="true" outlineLevel="0" collapsed="false">
      <c r="A9" s="19" t="s">
        <v>217</v>
      </c>
      <c r="B9" s="30" t="str">
        <f aca="false">VLOOKUP(A9,04_Cadastro_Carriers!A6:B9,2,FALSE())</f>
        <v>Prime Mile SP</v>
      </c>
      <c r="C9" s="43" t="n">
        <f aca="false">COUNTIFS(07_Comparativo!$B$6:$B$53,A9,07_Comparativo!$D$6:$D$53,"OK")</f>
        <v>4</v>
      </c>
      <c r="D9" s="32" t="n">
        <f aca="false">SUMIFS(07_Comparativo!$G$6:$G$53,07_Comparativo!$B$6:$B$53,A9,07_Comparativo!$D$6:$D$53,"OK")</f>
        <v>2654640</v>
      </c>
      <c r="E9" s="32" t="n">
        <f aca="false">SUMIFS(07_Comparativo!$H$6:$H$53,07_Comparativo!$B$6:$B$53,A9,07_Comparativo!$D$6:$D$53,"OK")*02_Premissas!$B$8</f>
        <v>3076560</v>
      </c>
      <c r="F9" s="42" t="n">
        <f aca="false">IF(E9=0,0,(D9-E9)/E9)</f>
        <v>-0.13714018254154</v>
      </c>
      <c r="G9" s="49" t="n">
        <f aca="false">AVERAGEIFS(07_Comparativo!$K$6:$K$53,07_Comparativo!$B$6:$B$53,A9,07_Comparativo!$D$6:$D$53,"OK")</f>
        <v>14.5</v>
      </c>
      <c r="H9" s="42" t="n">
        <f aca="false">AVERAGEIFS(07_Comparativo!$L$6:$L$53,07_Comparativo!$B$6:$B$53,A9,07_Comparativo!$D$6:$D$53,"OK")</f>
        <v>0.935</v>
      </c>
      <c r="I9" s="50" t="n">
        <f aca="false">ROUND(02_Premissas!$B$11*MAX(0,MIN(100,50-F9*250))+02_Premissas!$B$12*MAX(0,MIN(100,100-G9))+02_Premissas!$B$13*(H9*100)+02_Premissas!$B$14*(C9/12*100)+02_Premissas!$B$15*IF(VLOOKUP(A9,04_Cadastro_Carriers!A6:F9,6,FALSE())="Sim",100,40),1)</f>
        <v>81.7</v>
      </c>
      <c r="J9" s="43" t="n">
        <f aca="false">RANK(I9,$I$6:$I$9,0)</f>
        <v>1</v>
      </c>
    </row>
    <row r="28" customFormat="false" ht="15.75" hidden="false" customHeight="true" outlineLevel="0" collapsed="false">
      <c r="A28" s="4" t="s">
        <v>274</v>
      </c>
    </row>
    <row r="29" customFormat="false" ht="15" hidden="false" customHeight="true" outlineLevel="0" collapsed="false">
      <c r="A29" s="51" t="s">
        <v>275</v>
      </c>
      <c r="B29" s="51"/>
      <c r="C29" s="51"/>
      <c r="D29" s="51"/>
      <c r="E29" s="51"/>
      <c r="F29" s="51"/>
      <c r="G29" s="51"/>
      <c r="H29" s="51"/>
      <c r="I29" s="51"/>
      <c r="J29" s="51"/>
    </row>
    <row r="30" customFormat="false" ht="15" hidden="false" customHeight="true" outlineLevel="0" collapsed="false">
      <c r="A30" s="51"/>
      <c r="B30" s="51"/>
      <c r="C30" s="51"/>
      <c r="D30" s="51"/>
      <c r="E30" s="51"/>
      <c r="F30" s="51"/>
      <c r="G30" s="51"/>
      <c r="H30" s="51"/>
      <c r="I30" s="51"/>
      <c r="J30" s="51"/>
    </row>
    <row r="31" customFormat="false" ht="15" hidden="false" customHeight="true" outlineLevel="0" collapsed="false">
      <c r="A31" s="51"/>
      <c r="B31" s="51"/>
      <c r="C31" s="51"/>
      <c r="D31" s="51"/>
      <c r="E31" s="51"/>
      <c r="F31" s="51"/>
      <c r="G31" s="51"/>
      <c r="H31" s="51"/>
      <c r="I31" s="51"/>
      <c r="J31" s="51"/>
    </row>
  </sheetData>
  <mergeCells count="3">
    <mergeCell ref="A1:J1"/>
    <mergeCell ref="A2:J2"/>
    <mergeCell ref="A29:J31"/>
  </mergeCells>
  <conditionalFormatting sqref="I6:I9">
    <cfRule type="colorScale" priority="2">
      <colorScale>
        <cfvo type="min" val="0"/>
        <cfvo type="percentile" val="50"/>
        <cfvo type="max" val="0"/>
        <color rgb="FFFFCDD2"/>
        <color rgb="FFFFF9C4"/>
        <color rgb="FFA5D6A7"/>
      </colorScale>
    </cfRule>
  </conditionalFormatting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55"/>
    <col collapsed="false" customWidth="true" hidden="false" outlineLevel="0" max="3" min="3" style="1" width="36"/>
    <col collapsed="false" customWidth="true" hidden="false" outlineLevel="0" max="4" min="4" style="1" width="20"/>
    <col collapsed="false" customWidth="true" hidden="false" outlineLevel="0" max="5" min="5" style="1" width="12"/>
    <col collapsed="false" customWidth="true" hidden="false" outlineLevel="0" max="6" min="6" style="1" width="32"/>
  </cols>
  <sheetData>
    <row r="1" customFormat="false" ht="27.75" hidden="false" customHeight="true" outlineLevel="0" collapsed="false">
      <c r="A1" s="2" t="s">
        <v>276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>
      <c r="A2" s="3" t="s">
        <v>277</v>
      </c>
      <c r="B2" s="3"/>
      <c r="C2" s="3"/>
      <c r="D2" s="3"/>
      <c r="E2" s="3"/>
      <c r="F2" s="3"/>
      <c r="G2" s="3"/>
      <c r="H2" s="3"/>
    </row>
    <row r="4" customFormat="false" ht="15" hidden="false" customHeight="true" outlineLevel="0" collapsed="false">
      <c r="A4" s="9" t="s">
        <v>278</v>
      </c>
      <c r="B4" s="9" t="s">
        <v>279</v>
      </c>
      <c r="C4" s="9" t="s">
        <v>280</v>
      </c>
      <c r="D4" s="9" t="s">
        <v>281</v>
      </c>
      <c r="E4" s="9" t="s">
        <v>282</v>
      </c>
      <c r="F4" s="9" t="s">
        <v>283</v>
      </c>
    </row>
    <row r="5" customFormat="false" ht="15" hidden="false" customHeight="true" outlineLevel="0" collapsed="false">
      <c r="A5" s="52" t="s">
        <v>284</v>
      </c>
      <c r="B5" s="11" t="s">
        <v>285</v>
      </c>
      <c r="C5" s="53" t="n">
        <f aca="false">03_Baseline_Rotas!H35</f>
        <v>9215400</v>
      </c>
      <c r="D5" s="53" t="n">
        <v>0</v>
      </c>
      <c r="E5" s="38" t="n">
        <v>0</v>
      </c>
      <c r="F5" s="19" t="s">
        <v>286</v>
      </c>
    </row>
    <row r="6" customFormat="false" ht="15" hidden="false" customHeight="true" outlineLevel="0" collapsed="false">
      <c r="A6" s="52" t="s">
        <v>287</v>
      </c>
      <c r="B6" s="11" t="s">
        <v>288</v>
      </c>
      <c r="C6" s="53" t="n">
        <f aca="false">08_Saving!F18*02_Premissas!B8</f>
        <v>8171700</v>
      </c>
      <c r="D6" s="53" t="n">
        <f aca="false">C5-C6</f>
        <v>1043700</v>
      </c>
      <c r="E6" s="38" t="n">
        <f aca="false">IF(C5=0,0,D6/C5)</f>
        <v>0.113256071358812</v>
      </c>
      <c r="F6" s="19" t="s">
        <v>289</v>
      </c>
    </row>
    <row r="7" customFormat="false" ht="15" hidden="false" customHeight="true" outlineLevel="0" collapsed="false">
      <c r="A7" s="52" t="s">
        <v>290</v>
      </c>
      <c r="B7" s="11" t="s">
        <v>291</v>
      </c>
      <c r="C7" s="53" t="n">
        <f aca="false">C5*02_Premissas!B18+C6*02_Premissas!B19</f>
        <v>8589180</v>
      </c>
      <c r="D7" s="53" t="n">
        <f aca="false">C5-C7</f>
        <v>626220</v>
      </c>
      <c r="E7" s="38" t="n">
        <f aca="false">IF(C5=0,0,D7/C5)</f>
        <v>0.0679536428152875</v>
      </c>
      <c r="F7" s="19" t="s">
        <v>292</v>
      </c>
    </row>
    <row r="8" customFormat="false" ht="15" hidden="false" customHeight="true" outlineLevel="0" collapsed="false">
      <c r="A8" s="52" t="s">
        <v>293</v>
      </c>
      <c r="B8" s="11" t="s">
        <v>294</v>
      </c>
      <c r="C8" s="53" t="n">
        <f aca="false">C6*1.1</f>
        <v>8988870</v>
      </c>
      <c r="D8" s="53" t="n">
        <f aca="false">C5*1.1-C8</f>
        <v>1148070</v>
      </c>
      <c r="E8" s="38" t="n">
        <f aca="false">IF(C5=0,0,D8/(C5*1.1))</f>
        <v>0.113256071358812</v>
      </c>
      <c r="F8" s="19" t="s">
        <v>295</v>
      </c>
    </row>
    <row r="10" customFormat="false" ht="15.75" hidden="false" customHeight="true" outlineLevel="0" collapsed="false">
      <c r="A10" s="4" t="s">
        <v>296</v>
      </c>
    </row>
    <row r="11" customFormat="false" ht="15" hidden="false" customHeight="true" outlineLevel="0" collapsed="false">
      <c r="A11" s="9" t="s">
        <v>297</v>
      </c>
      <c r="B11" s="9" t="s">
        <v>298</v>
      </c>
      <c r="C11" s="9" t="s">
        <v>299</v>
      </c>
      <c r="D11" s="9" t="s">
        <v>300</v>
      </c>
    </row>
    <row r="12" customFormat="false" ht="15" hidden="false" customHeight="true" outlineLevel="0" collapsed="false">
      <c r="A12" s="19" t="s">
        <v>201</v>
      </c>
      <c r="B12" s="15" t="n">
        <v>0.35</v>
      </c>
      <c r="C12" s="54" t="n">
        <f aca="false">09_Ranking!D6</f>
        <v>9132660</v>
      </c>
      <c r="D12" s="54" t="n">
        <f aca="false">B12*C12</f>
        <v>3196431</v>
      </c>
    </row>
    <row r="13" customFormat="false" ht="15" hidden="false" customHeight="true" outlineLevel="0" collapsed="false">
      <c r="A13" s="19" t="s">
        <v>208</v>
      </c>
      <c r="B13" s="15" t="n">
        <v>0.25</v>
      </c>
      <c r="C13" s="54" t="n">
        <f aca="false">09_Ranking!D7</f>
        <v>6063780</v>
      </c>
      <c r="D13" s="54" t="n">
        <f aca="false">B13*C13</f>
        <v>1515945</v>
      </c>
    </row>
    <row r="14" customFormat="false" ht="15" hidden="false" customHeight="true" outlineLevel="0" collapsed="false">
      <c r="A14" s="19" t="s">
        <v>213</v>
      </c>
      <c r="B14" s="15" t="n">
        <v>0.15</v>
      </c>
      <c r="C14" s="54" t="n">
        <f aca="false">09_Ranking!D8</f>
        <v>5399040</v>
      </c>
      <c r="D14" s="54" t="n">
        <f aca="false">B14*C14</f>
        <v>809856</v>
      </c>
    </row>
    <row r="15" customFormat="false" ht="15" hidden="false" customHeight="true" outlineLevel="0" collapsed="false">
      <c r="A15" s="19" t="s">
        <v>218</v>
      </c>
      <c r="B15" s="15" t="n">
        <v>0.25</v>
      </c>
      <c r="C15" s="54" t="n">
        <f aca="false">09_Ranking!D9</f>
        <v>2654640</v>
      </c>
      <c r="D15" s="54" t="n">
        <f aca="false">B15*C15</f>
        <v>663660</v>
      </c>
    </row>
    <row r="16" customFormat="false" ht="15" hidden="false" customHeight="true" outlineLevel="0" collapsed="false">
      <c r="A16" s="7" t="s">
        <v>301</v>
      </c>
      <c r="B16" s="48" t="n">
        <f aca="false">SUM(B12:B15)</f>
        <v>1</v>
      </c>
      <c r="C16" s="1" t="str">
        <f aca="false">IF(ABS(B16-1)&lt;0.001,"OK","AJUSTAR SHARE")</f>
        <v>OK</v>
      </c>
    </row>
    <row r="17" customFormat="false" ht="15" hidden="false" customHeight="true" outlineLevel="0" collapsed="false">
      <c r="A17" s="7" t="s">
        <v>302</v>
      </c>
      <c r="B17" s="55" t="n">
        <f aca="false">SUM(D12:D15)</f>
        <v>6185892</v>
      </c>
      <c r="C17" s="1" t="s">
        <v>303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6"/>
    <col collapsed="false" customWidth="true" hidden="false" outlineLevel="0" max="3" min="3" style="1" width="22"/>
    <col collapsed="false" customWidth="true" hidden="false" outlineLevel="0" max="4" min="4" style="1" width="18"/>
    <col collapsed="false" customWidth="true" hidden="false" outlineLevel="0" max="8" min="5" style="1" width="16"/>
  </cols>
  <sheetData>
    <row r="1" customFormat="false" ht="27.75" hidden="false" customHeight="true" outlineLevel="0" collapsed="false">
      <c r="A1" s="2" t="s">
        <v>304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>
      <c r="A2" s="3" t="s">
        <v>305</v>
      </c>
      <c r="B2" s="3"/>
      <c r="C2" s="3"/>
      <c r="D2" s="3"/>
      <c r="E2" s="3"/>
      <c r="F2" s="3"/>
      <c r="G2" s="3"/>
      <c r="H2" s="3"/>
    </row>
    <row r="4" customFormat="false" ht="19.5" hidden="false" customHeight="true" outlineLevel="0" collapsed="false">
      <c r="A4" s="56" t="s">
        <v>306</v>
      </c>
      <c r="B4" s="56"/>
      <c r="C4" s="56"/>
      <c r="D4" s="56"/>
      <c r="E4" s="56"/>
      <c r="F4" s="56"/>
      <c r="G4" s="56"/>
      <c r="H4" s="56"/>
    </row>
    <row r="5" customFormat="false" ht="48" hidden="false" customHeight="true" outlineLevel="0" collapsed="false">
      <c r="A5" s="56"/>
      <c r="B5" s="56"/>
      <c r="C5" s="56"/>
      <c r="D5" s="56"/>
      <c r="E5" s="56"/>
      <c r="F5" s="56"/>
      <c r="G5" s="56"/>
      <c r="H5" s="56"/>
    </row>
    <row r="7" customFormat="false" ht="15.75" hidden="false" customHeight="true" outlineLevel="0" collapsed="false">
      <c r="A7" s="4" t="s">
        <v>307</v>
      </c>
    </row>
    <row r="8" customFormat="false" ht="15" hidden="false" customHeight="true" outlineLevel="0" collapsed="false">
      <c r="A8" s="8" t="s">
        <v>308</v>
      </c>
      <c r="B8" s="8"/>
      <c r="C8" s="8"/>
      <c r="D8" s="8"/>
      <c r="E8" s="8"/>
      <c r="F8" s="8"/>
      <c r="G8" s="8"/>
      <c r="H8" s="8"/>
    </row>
    <row r="9" customFormat="false" ht="15" hidden="false" customHeight="true" outlineLevel="0" collapsed="false">
      <c r="A9" s="8" t="s">
        <v>309</v>
      </c>
      <c r="B9" s="8"/>
      <c r="C9" s="8"/>
      <c r="D9" s="8"/>
      <c r="E9" s="8"/>
      <c r="F9" s="8"/>
      <c r="G9" s="8"/>
      <c r="H9" s="8"/>
    </row>
    <row r="10" customFormat="false" ht="15" hidden="false" customHeight="true" outlineLevel="0" collapsed="false">
      <c r="A10" s="8" t="s">
        <v>310</v>
      </c>
      <c r="B10" s="8"/>
      <c r="C10" s="8"/>
      <c r="D10" s="8"/>
      <c r="E10" s="8"/>
      <c r="F10" s="8"/>
      <c r="G10" s="8"/>
      <c r="H10" s="8"/>
    </row>
    <row r="11" customFormat="false" ht="15" hidden="false" customHeight="true" outlineLevel="0" collapsed="false">
      <c r="A11" s="8" t="s">
        <v>311</v>
      </c>
      <c r="B11" s="8"/>
      <c r="C11" s="8"/>
      <c r="D11" s="8"/>
      <c r="E11" s="8"/>
      <c r="F11" s="8"/>
      <c r="G11" s="8"/>
      <c r="H11" s="8"/>
    </row>
    <row r="12" customFormat="false" ht="15" hidden="false" customHeight="true" outlineLevel="0" collapsed="false">
      <c r="A12" s="8" t="s">
        <v>312</v>
      </c>
      <c r="B12" s="8"/>
      <c r="C12" s="8"/>
      <c r="D12" s="8"/>
      <c r="E12" s="8"/>
      <c r="F12" s="8"/>
      <c r="G12" s="8"/>
      <c r="H12" s="8"/>
    </row>
    <row r="14" customFormat="false" ht="15.75" hidden="false" customHeight="true" outlineLevel="0" collapsed="false">
      <c r="A14" s="4" t="s">
        <v>313</v>
      </c>
    </row>
    <row r="15" customFormat="false" ht="15" hidden="false" customHeight="true" outlineLevel="0" collapsed="false">
      <c r="A15" s="9" t="s">
        <v>314</v>
      </c>
      <c r="B15" s="9" t="s">
        <v>315</v>
      </c>
      <c r="C15" s="9" t="s">
        <v>316</v>
      </c>
      <c r="D15" s="9" t="s">
        <v>317</v>
      </c>
    </row>
    <row r="16" customFormat="false" ht="31.5" hidden="false" customHeight="true" outlineLevel="0" collapsed="false">
      <c r="A16" s="57" t="s">
        <v>318</v>
      </c>
      <c r="B16" s="11" t="s">
        <v>319</v>
      </c>
      <c r="C16" s="11" t="s">
        <v>320</v>
      </c>
      <c r="D16" s="11" t="s">
        <v>321</v>
      </c>
      <c r="E16" s="11"/>
      <c r="F16" s="11"/>
      <c r="G16" s="11"/>
      <c r="H16" s="11"/>
    </row>
    <row r="17" customFormat="false" ht="31.5" hidden="false" customHeight="true" outlineLevel="0" collapsed="false">
      <c r="A17" s="57" t="s">
        <v>322</v>
      </c>
      <c r="B17" s="11" t="s">
        <v>323</v>
      </c>
      <c r="C17" s="11" t="s">
        <v>324</v>
      </c>
      <c r="D17" s="11" t="s">
        <v>325</v>
      </c>
      <c r="E17" s="11"/>
      <c r="F17" s="11"/>
      <c r="G17" s="11"/>
      <c r="H17" s="11"/>
    </row>
    <row r="18" customFormat="false" ht="31.5" hidden="false" customHeight="true" outlineLevel="0" collapsed="false">
      <c r="A18" s="57" t="s">
        <v>326</v>
      </c>
      <c r="B18" s="11" t="s">
        <v>327</v>
      </c>
      <c r="C18" s="11" t="s">
        <v>328</v>
      </c>
      <c r="D18" s="11" t="s">
        <v>329</v>
      </c>
      <c r="E18" s="11"/>
      <c r="F18" s="11"/>
      <c r="G18" s="11"/>
      <c r="H18" s="11"/>
    </row>
    <row r="20" customFormat="false" ht="15.75" hidden="false" customHeight="true" outlineLevel="0" collapsed="false">
      <c r="A20" s="4" t="s">
        <v>330</v>
      </c>
    </row>
    <row r="21" customFormat="false" ht="15" hidden="false" customHeight="true" outlineLevel="0" collapsed="false">
      <c r="A21" s="6" t="s">
        <v>331</v>
      </c>
      <c r="B21" s="6"/>
      <c r="C21" s="6"/>
      <c r="D21" s="6"/>
      <c r="E21" s="6"/>
      <c r="F21" s="6"/>
      <c r="G21" s="6"/>
      <c r="H21" s="6"/>
    </row>
    <row r="22" customFormat="false" ht="15" hidden="false" customHeight="true" outlineLevel="0" collapsed="false">
      <c r="A22" s="6"/>
      <c r="B22" s="6"/>
      <c r="C22" s="6"/>
      <c r="D22" s="6"/>
      <c r="E22" s="6"/>
      <c r="F22" s="6"/>
      <c r="G22" s="6"/>
      <c r="H22" s="6"/>
    </row>
    <row r="23" customFormat="false" ht="15" hidden="false" customHeight="true" outlineLevel="0" collapsed="false">
      <c r="A23" s="6"/>
      <c r="B23" s="6"/>
      <c r="C23" s="6"/>
      <c r="D23" s="6"/>
      <c r="E23" s="6"/>
      <c r="F23" s="6"/>
      <c r="G23" s="6"/>
      <c r="H23" s="6"/>
    </row>
    <row r="25" customFormat="false" ht="15.75" hidden="false" customHeight="true" outlineLevel="0" collapsed="false">
      <c r="A25" s="4" t="s">
        <v>332</v>
      </c>
    </row>
    <row r="26" customFormat="false" ht="15" hidden="false" customHeight="true" outlineLevel="0" collapsed="false">
      <c r="A26" s="51" t="s">
        <v>333</v>
      </c>
      <c r="B26" s="51"/>
      <c r="C26" s="51"/>
      <c r="D26" s="51"/>
      <c r="E26" s="51"/>
      <c r="F26" s="51"/>
      <c r="G26" s="51"/>
      <c r="H26" s="51"/>
    </row>
    <row r="27" customFormat="false" ht="15" hidden="false" customHeight="true" outlineLevel="0" collapsed="false">
      <c r="A27" s="51"/>
      <c r="B27" s="51"/>
      <c r="C27" s="51"/>
      <c r="D27" s="51"/>
      <c r="E27" s="51"/>
      <c r="F27" s="51"/>
      <c r="G27" s="51"/>
      <c r="H27" s="51"/>
    </row>
  </sheetData>
  <mergeCells count="13">
    <mergeCell ref="A1:H1"/>
    <mergeCell ref="A2:H2"/>
    <mergeCell ref="A4:H5"/>
    <mergeCell ref="A8:H8"/>
    <mergeCell ref="A9:H9"/>
    <mergeCell ref="A10:H10"/>
    <mergeCell ref="A11:H11"/>
    <mergeCell ref="A12:H12"/>
    <mergeCell ref="D16:H16"/>
    <mergeCell ref="D17:H17"/>
    <mergeCell ref="D18:H18"/>
    <mergeCell ref="A21:H23"/>
    <mergeCell ref="A26:H27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&amp;LRFQ Logístico Inteligente</oddHeader>
    <oddFooter>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2026-09-21T10:51:31Z</dcterms:created>
  <dc:creator>openpyxl</dc:creator>
  <dc:description/>
  <dc:language>en-US</dc:language>
  <cp:lastModifiedBy/>
  <dcterms:modified xsi:type="dcterms:W3CDTF">2026-09-21T10:52:13Z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